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Your numbers" sheetId="2" r:id="rId2"/>
    <sheet name="Forecast" sheetId="3" r:id="rId3"/>
    <sheet name="Weeks" sheetId="4" r:id="rId4"/>
    <sheet name="How to use" sheetId="5" r:id="rId5"/>
    <sheet name="Workings" sheetId="6" r:id="rId6"/>
  </sheets>
  <definedNames>
    <definedName name="_xlnm._FilterDatabase" localSheetId="2" hidden="1">Forecast!$B$5:$H$96</definedName>
    <definedName name="cr_answer">'Workings'!$C$27</definedName>
    <definedName name="cr_below">'Workings'!$C$16</definedName>
    <definedName name="cr_big_amt">'Workings'!$C$9</definedName>
    <definedName name="cr_big_date">'Workings'!$C$12</definedName>
    <definedName name="cr_big_late">'Workings'!$C$13</definedName>
    <definedName name="cr_big_name">'Workings'!$C$11</definedName>
    <definedName name="cr_big_row">'Workings'!$C$10</definedName>
    <definedName name="cr_end">'Workings'!$C$24</definedName>
    <definedName name="cr_floor">'Your numbers'!$C$9</definedName>
    <definedName name="cr_gap_in">'Workings'!$C$20</definedName>
    <definedName name="cr_gap_list">'Workings'!$C$22</definedName>
    <definedName name="cr_gap_note">'Workings'!$C$29</definedName>
    <definedName name="cr_gap_out">'Workings'!$C$21</definedName>
    <definedName name="cr_gaps">'Workings'!$C$19</definedName>
    <definedName name="cr_if_late">'Workings'!$C$28</definedName>
    <definedName name="cr_in_amt">'Your numbers'!$D$14:$D$33</definedName>
    <definedName name="cr_in_date">'Your numbers'!$C$14:$C$33</definedName>
    <definedName name="cr_in_name">'Your numbers'!$B$14:$B$33</definedName>
    <definedName name="cr_in_next">'Your numbers'!$F$14:$F$33</definedName>
    <definedName name="cr_in_rep">'Your numbers'!$E$14:$E$33</definedName>
    <definedName name="cr_in_status">'Your numbers'!$G$14:$G$33</definedName>
    <definedName name="cr_lab_end">'Workings'!$C$33</definedName>
    <definedName name="cr_lab_floor">'Workings'!$C$32</definedName>
    <definedName name="cr_lab_late">'Workings'!$C$31</definedName>
    <definedName name="cr_lab_low">'Workings'!$C$30</definedName>
    <definedName name="cr_last">'Workings'!$C$6</definedName>
    <definedName name="cr_late">'Your numbers'!$C$10</definedName>
    <definedName name="cr_late_below">'Workings'!$C$17</definedName>
    <definedName name="cr_late_date">'Workings'!$C$15</definedName>
    <definedName name="cr_late_low">'Workings'!$C$14</definedName>
    <definedName name="cr_low">'Workings'!$C$7</definedName>
    <definedName name="cr_low_date">'Workings'!$C$8</definedName>
    <definedName name="cr_neg">'Workings'!$C$18</definedName>
    <definedName name="cr_no_answer">'Workings'!$C$23</definedName>
    <definedName name="cr_open">'Your numbers'!$C$8</definedName>
    <definedName name="cr_out_amt">'Your numbers'!$D$37:$D$71</definedName>
    <definedName name="cr_out_date">'Your numbers'!$C$37:$C$71</definedName>
    <definedName name="cr_out_name">'Your numbers'!$B$37:$B$71</definedName>
    <definedName name="cr_out_next">'Your numbers'!$F$37:$F$71</definedName>
    <definedName name="cr_out_rep">'Your numbers'!$E$37:$E$71</definedName>
    <definedName name="cr_out_status">'Your numbers'!$G$37:$G$71</definedName>
    <definedName name="cr_start">'Your numbers'!$C$7</definedName>
    <definedName name="cr_tot_in">'Workings'!$C$25</definedName>
    <definedName name="cr_tot_out">'Workings'!$C$26</definedName>
    <definedName name="_xlnm.Print_Titles" localSheetId="2">Forecast!$5:$5</definedName>
  </definedNames>
  <calcPr calcId="124519" fullCalcOnLoad="1"/>
</workbook>
</file>

<file path=xl/sharedStrings.xml><?xml version="1.0" encoding="utf-8"?>
<sst xmlns="http://schemas.openxmlformats.org/spreadsheetml/2006/main" count="167" uniqueCount="148">
  <si>
    <t>Your numbers</t>
  </si>
  <si>
    <t>Fictional sample. The business and every amount are made up.</t>
  </si>
  <si>
    <t>Type only in the blue cells. Everything else in this workbook works itself out.</t>
  </si>
  <si>
    <t>Business or your name</t>
  </si>
  <si>
    <t>Marrow Lane Picture Framing (fictional)</t>
  </si>
  <si>
    <t>First day of the forecast</t>
  </si>
  <si>
    <t>Money in the account that morning</t>
  </si>
  <si>
    <t>The least you want to keep</t>
  </si>
  <si>
    <t>Days late, for the what-if</t>
  </si>
  <si>
    <t>Money you expect to come in</t>
  </si>
  <si>
    <t>What</t>
  </si>
  <si>
    <t>Date (first date if it repeats)</t>
  </si>
  <si>
    <t>Amount</t>
  </si>
  <si>
    <t>Repeats</t>
  </si>
  <si>
    <t>Next date</t>
  </si>
  <si>
    <t>Is it counted?</t>
  </si>
  <si>
    <t>Shop takings (typical week)</t>
  </si>
  <si>
    <t>Weekly</t>
  </si>
  <si>
    <t>Tidewater Hotel invoice</t>
  </si>
  <si>
    <t>Once</t>
  </si>
  <si>
    <t>Gallery show deposit</t>
  </si>
  <si>
    <t>School art prize framing</t>
  </si>
  <si>
    <t>Bills and regular costs</t>
  </si>
  <si>
    <t>Rent</t>
  </si>
  <si>
    <t>Monthly</t>
  </si>
  <si>
    <t>Wages</t>
  </si>
  <si>
    <t>Every 2 weeks</t>
  </si>
  <si>
    <t>Moulding supplier</t>
  </si>
  <si>
    <t>Glass supplier</t>
  </si>
  <si>
    <t>Insurance renewal</t>
  </si>
  <si>
    <t>Quarterly tax payment, from the accountant</t>
  </si>
  <si>
    <t>Card reader and software</t>
  </si>
  <si>
    <t>Christmas bonus</t>
  </si>
  <si>
    <t>What this forecast is assuming, and what is still missing</t>
  </si>
  <si>
    <t>Shop takings of $2,600 a week is the owner's estimate; December may run higher and January lower.</t>
  </si>
  <si>
    <t>No loan repayments or owner's drawings were listed. Add them if there are any.</t>
  </si>
  <si>
    <t>Forecast, day by day</t>
  </si>
  <si>
    <t>One line for each of the 90 days. The grey column is the same forecast with the biggest payment arriving late.</t>
  </si>
  <si>
    <t>Date</t>
  </si>
  <si>
    <t>What happens</t>
  </si>
  <si>
    <t>Money in</t>
  </si>
  <si>
    <t>Money out</t>
  </si>
  <si>
    <t>Balance</t>
  </si>
  <si>
    <t>Above floor</t>
  </si>
  <si>
    <t>If late</t>
  </si>
  <si>
    <t>Balance brought forward</t>
  </si>
  <si>
    <t>Carried forward</t>
  </si>
  <si>
    <t>Workings</t>
  </si>
  <si>
    <t>The steps behind the Overview and the chart. Nothing to type here.</t>
  </si>
  <si>
    <t>cr_last</t>
  </si>
  <si>
    <t>cr_low</t>
  </si>
  <si>
    <t>cr_low_date</t>
  </si>
  <si>
    <t>cr_big_amt</t>
  </si>
  <si>
    <t>cr_big_row</t>
  </si>
  <si>
    <t>cr_big_name</t>
  </si>
  <si>
    <t>cr_big_date</t>
  </si>
  <si>
    <t>cr_big_late</t>
  </si>
  <si>
    <t>cr_late_low</t>
  </si>
  <si>
    <t>cr_late_date</t>
  </si>
  <si>
    <t>cr_below</t>
  </si>
  <si>
    <t>cr_late_below</t>
  </si>
  <si>
    <t>cr_neg</t>
  </si>
  <si>
    <t>cr_gaps</t>
  </si>
  <si>
    <t>cr_gap_in</t>
  </si>
  <si>
    <t>cr_gap_out</t>
  </si>
  <si>
    <t>cr_gap_list</t>
  </si>
  <si>
    <t>cr_no_answer</t>
  </si>
  <si>
    <t>cr_end</t>
  </si>
  <si>
    <t>cr_tot_in</t>
  </si>
  <si>
    <t>cr_tot_out</t>
  </si>
  <si>
    <t>cr_answer</t>
  </si>
  <si>
    <t>cr_if_late</t>
  </si>
  <si>
    <t>cr_gap_note</t>
  </si>
  <si>
    <t>cr_lab_low</t>
  </si>
  <si>
    <t>cr_lab_late</t>
  </si>
  <si>
    <t>cr_lab_floor</t>
  </si>
  <si>
    <t>cr_lab_end</t>
  </si>
  <si>
    <t>date</t>
  </si>
  <si>
    <t>balance</t>
  </si>
  <si>
    <t>floor</t>
  </si>
  <si>
    <t>if late</t>
  </si>
  <si>
    <t>low mark</t>
  </si>
  <si>
    <t>late mark</t>
  </si>
  <si>
    <t>end mark</t>
  </si>
  <si>
    <t>floor mark</t>
  </si>
  <si>
    <t>below</t>
  </si>
  <si>
    <t>late below</t>
  </si>
  <si>
    <t>negative</t>
  </si>
  <si>
    <t>in window</t>
  </si>
  <si>
    <t>The figures</t>
  </si>
  <si>
    <t>Balance on day one</t>
  </si>
  <si>
    <t>Your floor</t>
  </si>
  <si>
    <t>Tightest day</t>
  </si>
  <si>
    <t>Balance that day</t>
  </si>
  <si>
    <t>Balance on day 90</t>
  </si>
  <si>
    <t>Money in, 90 days</t>
  </si>
  <si>
    <t>Money out, 90 days</t>
  </si>
  <si>
    <t>If the biggest payment is late</t>
  </si>
  <si>
    <t>Payment</t>
  </si>
  <si>
    <t>Expected</t>
  </si>
  <si>
    <t>Then arrives</t>
  </si>
  <si>
    <t>On</t>
  </si>
  <si>
    <t>Tightest balance</t>
  </si>
  <si>
    <t>Assumed, and still missing</t>
  </si>
  <si>
    <t>Each day's money in is counted before that day's bills, and every balance is the end-of-day figure.</t>
  </si>
  <si>
    <t>Everything lands on the date listed. Only what is on the Your numbers sheet is counted.</t>
  </si>
  <si>
    <t>This is arithmetic on your own figures. It is not tax, lending or investment advice.</t>
  </si>
  <si>
    <t>Week by week</t>
  </si>
  <si>
    <t>The same 90 days in 13 lines. The last line is six days long.</t>
  </si>
  <si>
    <t>Week</t>
  </si>
  <si>
    <t>From</t>
  </si>
  <si>
    <t>To</t>
  </si>
  <si>
    <t>Opening</t>
  </si>
  <si>
    <t>Closing</t>
  </si>
  <si>
    <t>Lowest</t>
  </si>
  <si>
    <t>Note</t>
  </si>
  <si>
    <t>Total</t>
  </si>
  <si>
    <t>How to use this</t>
  </si>
  <si>
    <t>Each time you use it</t>
  </si>
  <si>
    <t>1</t>
  </si>
  <si>
    <t>Go to Your numbers. Change the first day to today and type what is in the account this morning.</t>
  </si>
  <si>
    <t>2</t>
  </si>
  <si>
    <t>Add money you expect and bills you know about. Pick how often each one repeats.</t>
  </si>
  <si>
    <t>3</t>
  </si>
  <si>
    <t>Come back to Overview. The answer, the chart and every sheet have already updated.</t>
  </si>
  <si>
    <t>What the marks mean</t>
  </si>
  <si>
    <t>Blue</t>
  </si>
  <si>
    <t>Numbers you typed. These are the only cells meant to change.</t>
  </si>
  <si>
    <t>Ink</t>
  </si>
  <si>
    <t>Numbers the workbook worked out from yours.</t>
  </si>
  <si>
    <t>Pencil</t>
  </si>
  <si>
    <t>The what-if: your biggest expected payment arriving late. You set how many days late.</t>
  </si>
  <si>
    <t>Red rule</t>
  </si>
  <si>
    <t>Your floor. A red figure means the balance is under it.</t>
  </si>
  <si>
    <t>Good to know</t>
  </si>
  <si>
    <t>A monthly item on the 31st lands on the last day of shorter months. An every-day item lands on all seven days of the week, so if you close some days, use a weekly total instead.</t>
  </si>
  <si>
    <t>No answer yet</t>
  </si>
  <si>
    <t>If any line has no date, no amount or a one-off date that has passed, the answer stops until you fix it, because a sum that leaves out a bill looks safer than it is. After moving the first day on, delete one-off lines that are settled or give them a new date.</t>
  </si>
  <si>
    <t>Late case</t>
  </si>
  <si>
    <t>Only the next arrival of the biggest payment moves. Everything else stays on its date.</t>
  </si>
  <si>
    <t>Quiet days</t>
  </si>
  <si>
    <t>On the Forecast sheet, filter the What happens column to hide days when nothing moves.</t>
  </si>
  <si>
    <t>Locked cells</t>
  </si>
  <si>
    <t>Worked-out cells are locked so they cannot be typed over by accident. Review &gt; Unprotect Sheet lifts it; there is no password.</t>
  </si>
  <si>
    <t>Older Excel</t>
  </si>
  <si>
    <t>The What happens notes need Excel 2019 or newer. On older versions they stay blank and all the sums still work.</t>
  </si>
  <si>
    <t>Not advice</t>
  </si>
  <si>
    <t>This shows arithmetic on your own figures. It does not give tax, lending or investment advice; a qualified person can.</t>
  </si>
</sst>
</file>

<file path=xl/styles.xml><?xml version="1.0" encoding="utf-8"?>
<styleSheet xmlns="http://schemas.openxmlformats.org/spreadsheetml/2006/main">
  <numFmts count="5">
    <numFmt numFmtId="164" formatCode="&quot;$&quot;#,##0;[Red]-&quot;$&quot;#,##0"/>
    <numFmt numFmtId="165" formatCode="d mmm"/>
    <numFmt numFmtId="166" formatCode="d mmm yyyy"/>
    <numFmt numFmtId="167" formatCode="ddd d mmm"/>
    <numFmt numFmtId="168" formatCode="&quot;$&quot;#,##0;[Red]-&quot;$&quot;#,##0;"/>
  </numFmts>
  <fonts count="26">
    <font>
      <sz val="11"/>
      <color theme="1"/>
      <name val="Calibri"/>
      <family val="2"/>
      <scheme val="minor"/>
    </font>
    <font>
      <sz val="11"/>
      <color rgb="FF17322B"/>
      <name val="Cambria"/>
      <family val="2"/>
    </font>
    <font>
      <b/>
      <sz val="11"/>
      <color rgb="FF17322B"/>
      <name val="Cambria"/>
      <family val="2"/>
    </font>
    <font>
      <i/>
      <sz val="11"/>
      <color rgb="FFB0362A"/>
      <name val="Cambria"/>
      <family val="2"/>
    </font>
    <font>
      <sz val="11"/>
      <color rgb="FF747B72"/>
      <name val="Cambria"/>
      <family val="2"/>
    </font>
    <font>
      <sz val="23"/>
      <color rgb="FF17322B"/>
      <name val="Georgia"/>
      <family val="2"/>
    </font>
    <font>
      <i/>
      <sz val="13"/>
      <color rgb="FF747B72"/>
      <name val="Cambria"/>
      <family val="2"/>
    </font>
    <font>
      <b/>
      <sz val="10"/>
      <color rgb="FF17322B"/>
      <name val="Cambria"/>
      <family val="2"/>
    </font>
    <font>
      <b/>
      <sz val="10"/>
      <color rgb="FF747B72"/>
      <name val="Cambria"/>
      <family val="2"/>
    </font>
    <font>
      <b/>
      <sz val="10"/>
      <color rgb="FFB0362A"/>
      <name val="Cambria"/>
      <family val="2"/>
    </font>
    <font>
      <sz val="10"/>
      <color rgb="FF17322B"/>
      <name val="Cambria"/>
      <family val="2"/>
    </font>
    <font>
      <sz val="10"/>
      <color rgb="FF747B72"/>
      <name val="Cambria"/>
      <family val="2"/>
    </font>
    <font>
      <sz val="20"/>
      <color rgb="FF17322B"/>
      <name val="Georgia"/>
      <family val="2"/>
    </font>
    <font>
      <i/>
      <sz val="11"/>
      <color rgb="FF747B72"/>
      <name val="Cambria"/>
      <family val="2"/>
    </font>
    <font>
      <sz val="11"/>
      <color rgb="FF1F4E8C"/>
      <name val="Cambria"/>
      <family val="2"/>
    </font>
    <font>
      <sz val="14"/>
      <color rgb="FF17322B"/>
      <name val="Georgia"/>
      <family val="2"/>
    </font>
    <font>
      <i/>
      <sz val="11"/>
      <color rgb="FF17322B"/>
      <name val="Cambria"/>
      <family val="2"/>
    </font>
    <font>
      <b/>
      <i/>
      <sz val="11"/>
      <color rgb="FF17322B"/>
      <name val="Cambria"/>
      <family val="2"/>
    </font>
    <font>
      <b/>
      <sz val="11"/>
      <color rgb="FFB0362A"/>
      <name val="Cambria"/>
      <family val="2"/>
    </font>
    <font>
      <sz val="11"/>
      <color rgb="FF17322B"/>
      <name val="Cambria"/>
      <family val="2"/>
    </font>
    <font>
      <b/>
      <sz val="11"/>
      <color rgb="FF1F4E8C"/>
      <name val="Cambria"/>
      <family val="2"/>
    </font>
    <font>
      <b/>
      <sz val="11"/>
      <color rgb="FF747B72"/>
      <name val="Cambria"/>
      <family val="2"/>
    </font>
    <font>
      <sz val="16"/>
      <color rgb="FF17322B"/>
      <name val="Georgia"/>
      <family val="2"/>
    </font>
    <font>
      <b/>
      <sz val="9"/>
      <color rgb="FF17322B"/>
      <name val="Cambria"/>
      <family val="2"/>
    </font>
    <font>
      <sz val="9"/>
      <color rgb="FF747B72"/>
      <name val="Cambria"/>
      <family val="2"/>
    </font>
    <font>
      <sz val="9"/>
      <color rgb="FF17322B"/>
      <name val="Cambria"/>
      <family val="2"/>
    </font>
  </fonts>
  <fills count="4">
    <fill>
      <patternFill patternType="none"/>
    </fill>
    <fill>
      <patternFill patternType="gray125"/>
    </fill>
    <fill>
      <patternFill patternType="solid">
        <fgColor rgb="FFEEF3EA"/>
        <bgColor indexed="64"/>
      </patternFill>
    </fill>
    <fill>
      <patternFill patternType="solid">
        <fgColor rgb="FFE8F0F8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double">
        <color rgb="FFB0362A"/>
      </bottom>
      <diagonal/>
    </border>
    <border>
      <left/>
      <right/>
      <top/>
      <bottom style="thin">
        <color rgb="FFB0362A"/>
      </bottom>
      <diagonal/>
    </border>
    <border>
      <left/>
      <right/>
      <top/>
      <bottom style="thin">
        <color rgb="FFC5D5C4"/>
      </bottom>
      <diagonal/>
    </border>
    <border>
      <left/>
      <right/>
      <top/>
      <bottom style="thin">
        <color rgb="FFDCE6DB"/>
      </bottom>
      <diagonal/>
    </border>
    <border>
      <left style="thin">
        <color rgb="FFC5D5C4"/>
      </left>
      <right style="thin">
        <color rgb="FFC5D5C4"/>
      </right>
      <top style="thin">
        <color rgb="FFC5D5C4"/>
      </top>
      <bottom style="thin">
        <color rgb="FFC5D5C4"/>
      </bottom>
      <diagonal/>
    </border>
    <border>
      <left/>
      <right/>
      <top style="thin">
        <color rgb="FFB0362A"/>
      </top>
      <bottom style="double">
        <color rgb="FFB0362A"/>
      </bottom>
      <diagonal/>
    </border>
    <border>
      <left/>
      <right/>
      <top/>
      <bottom style="thin">
        <color rgb="FF7E9E8A"/>
      </bottom>
      <diagonal/>
    </border>
    <border>
      <left/>
      <right style="thin">
        <color rgb="FFC5D5C4"/>
      </right>
      <top/>
      <bottom style="thin">
        <color rgb="FF7E9E8A"/>
      </bottom>
      <diagonal/>
    </border>
    <border>
      <left/>
      <right style="thin">
        <color rgb="FFC5D5C4"/>
      </right>
      <top/>
      <bottom style="thin">
        <color rgb="FFDCE6DB"/>
      </bottom>
      <diagonal/>
    </border>
    <border>
      <left/>
      <right style="thin">
        <color rgb="FFC5D5C4"/>
      </right>
      <top/>
      <bottom style="thin">
        <color rgb="FFC5D5C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0" fontId="1" fillId="2" borderId="1" xfId="0" applyFont="1" applyFill="1" applyBorder="1" applyAlignment="1">
      <alignment vertical="center"/>
    </xf>
    <xf numFmtId="0" fontId="5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top" wrapText="1"/>
    </xf>
    <xf numFmtId="0" fontId="7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164" fontId="1" fillId="2" borderId="3" xfId="0" applyNumberFormat="1" applyFont="1" applyFill="1" applyBorder="1" applyAlignment="1">
      <alignment horizontal="right" vertical="center"/>
    </xf>
    <xf numFmtId="0" fontId="2" fillId="2" borderId="3" xfId="0" applyFont="1" applyFill="1" applyBorder="1" applyAlignment="1">
      <alignment vertical="center"/>
    </xf>
    <xf numFmtId="165" fontId="2" fillId="2" borderId="3" xfId="0" applyNumberFormat="1" applyFont="1" applyFill="1" applyBorder="1" applyAlignment="1">
      <alignment horizontal="right" vertical="center"/>
    </xf>
    <xf numFmtId="164" fontId="2" fillId="2" borderId="3" xfId="0" applyNumberFormat="1" applyFont="1" applyFill="1" applyBorder="1" applyAlignment="1">
      <alignment horizontal="right" vertical="center"/>
    </xf>
    <xf numFmtId="0" fontId="8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164" fontId="4" fillId="2" borderId="3" xfId="0" applyNumberFormat="1" applyFont="1" applyFill="1" applyBorder="1" applyAlignment="1">
      <alignment horizontal="right" vertical="center"/>
    </xf>
    <xf numFmtId="165" fontId="4" fillId="2" borderId="3" xfId="0" applyNumberFormat="1" applyFont="1" applyFill="1" applyBorder="1" applyAlignment="1">
      <alignment horizontal="right" vertical="center"/>
    </xf>
    <xf numFmtId="0" fontId="9" fillId="2" borderId="0" xfId="0" applyFont="1" applyFill="1" applyAlignment="1">
      <alignment vertical="center" wrapText="1"/>
    </xf>
    <xf numFmtId="0" fontId="10" fillId="2" borderId="4" xfId="0" applyFont="1" applyFill="1" applyBorder="1" applyAlignment="1">
      <alignment vertical="center" wrapText="1"/>
    </xf>
    <xf numFmtId="0" fontId="11" fillId="2" borderId="0" xfId="0" applyFont="1" applyFill="1" applyAlignment="1">
      <alignment vertical="center" wrapText="1"/>
    </xf>
    <xf numFmtId="0" fontId="1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13" fillId="2" borderId="0" xfId="0" applyFont="1" applyFill="1" applyAlignment="1">
      <alignment vertical="center"/>
    </xf>
    <xf numFmtId="0" fontId="14" fillId="3" borderId="5" xfId="0" applyFont="1" applyFill="1" applyBorder="1" applyAlignment="1" applyProtection="1">
      <alignment vertical="center"/>
      <protection locked="0"/>
    </xf>
    <xf numFmtId="166" fontId="14" fillId="3" borderId="5" xfId="0" applyNumberFormat="1" applyFont="1" applyFill="1" applyBorder="1" applyAlignment="1" applyProtection="1">
      <alignment horizontal="right" vertical="center"/>
      <protection locked="0"/>
    </xf>
    <xf numFmtId="164" fontId="14" fillId="3" borderId="5" xfId="0" applyNumberFormat="1" applyFont="1" applyFill="1" applyBorder="1" applyAlignment="1" applyProtection="1">
      <alignment vertical="center"/>
      <protection locked="0"/>
    </xf>
    <xf numFmtId="1" fontId="14" fillId="3" borderId="5" xfId="0" applyNumberFormat="1" applyFont="1" applyFill="1" applyBorder="1" applyAlignment="1" applyProtection="1">
      <alignment vertical="center"/>
      <protection locked="0"/>
    </xf>
    <xf numFmtId="0" fontId="15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horizontal="right" vertical="center" wrapText="1"/>
    </xf>
    <xf numFmtId="166" fontId="1" fillId="2" borderId="3" xfId="0" applyNumberFormat="1" applyFont="1" applyFill="1" applyBorder="1" applyAlignment="1">
      <alignment horizontal="right" vertical="center"/>
    </xf>
    <xf numFmtId="0" fontId="11" fillId="2" borderId="3" xfId="0" applyFont="1" applyFill="1" applyBorder="1" applyAlignment="1">
      <alignment vertical="center"/>
    </xf>
    <xf numFmtId="0" fontId="14" fillId="3" borderId="5" xfId="0" applyFont="1" applyFill="1" applyBorder="1" applyAlignment="1" applyProtection="1">
      <alignment vertical="center" wrapText="1"/>
      <protection locked="0"/>
    </xf>
    <xf numFmtId="0" fontId="1" fillId="2" borderId="7" xfId="0" applyFont="1" applyFill="1" applyBorder="1" applyAlignment="1">
      <alignment vertical="center"/>
    </xf>
    <xf numFmtId="0" fontId="16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164" fontId="2" fillId="2" borderId="8" xfId="0" applyNumberFormat="1" applyFont="1" applyFill="1" applyBorder="1" applyAlignment="1">
      <alignment vertical="center"/>
    </xf>
    <xf numFmtId="164" fontId="4" fillId="2" borderId="8" xfId="0" applyNumberFormat="1" applyFont="1" applyFill="1" applyBorder="1" applyAlignment="1">
      <alignment vertical="center"/>
    </xf>
    <xf numFmtId="164" fontId="4" fillId="2" borderId="7" xfId="0" applyNumberFormat="1" applyFont="1" applyFill="1" applyBorder="1" applyAlignment="1">
      <alignment vertical="center"/>
    </xf>
    <xf numFmtId="167" fontId="1" fillId="2" borderId="4" xfId="0" applyNumberFormat="1" applyFont="1" applyFill="1" applyBorder="1" applyAlignment="1">
      <alignment horizontal="left" vertical="center"/>
    </xf>
    <xf numFmtId="0" fontId="10" fillId="2" borderId="4" xfId="0" applyFont="1" applyFill="1" applyBorder="1" applyAlignment="1">
      <alignment vertical="center"/>
    </xf>
    <xf numFmtId="168" fontId="1" fillId="2" borderId="9" xfId="0" applyNumberFormat="1" applyFont="1" applyFill="1" applyBorder="1" applyAlignment="1">
      <alignment vertical="center"/>
    </xf>
    <xf numFmtId="164" fontId="2" fillId="2" borderId="9" xfId="0" applyNumberFormat="1" applyFont="1" applyFill="1" applyBorder="1" applyAlignment="1">
      <alignment vertical="center"/>
    </xf>
    <xf numFmtId="164" fontId="4" fillId="2" borderId="9" xfId="0" applyNumberFormat="1" applyFont="1" applyFill="1" applyBorder="1" applyAlignment="1">
      <alignment vertical="center"/>
    </xf>
    <xf numFmtId="164" fontId="4" fillId="2" borderId="4" xfId="0" applyNumberFormat="1" applyFont="1" applyFill="1" applyBorder="1" applyAlignment="1">
      <alignment vertical="center"/>
    </xf>
    <xf numFmtId="167" fontId="1" fillId="2" borderId="7" xfId="0" applyNumberFormat="1" applyFont="1" applyFill="1" applyBorder="1" applyAlignment="1">
      <alignment horizontal="left" vertical="center"/>
    </xf>
    <xf numFmtId="0" fontId="10" fillId="2" borderId="7" xfId="0" applyFont="1" applyFill="1" applyBorder="1" applyAlignment="1">
      <alignment vertical="center"/>
    </xf>
    <xf numFmtId="168" fontId="1" fillId="2" borderId="8" xfId="0" applyNumberFormat="1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17" fillId="2" borderId="6" xfId="0" applyFont="1" applyFill="1" applyBorder="1" applyAlignment="1">
      <alignment vertical="center"/>
    </xf>
    <xf numFmtId="164" fontId="2" fillId="2" borderId="6" xfId="0" applyNumberFormat="1" applyFont="1" applyFill="1" applyBorder="1" applyAlignment="1">
      <alignment vertical="center"/>
    </xf>
    <xf numFmtId="0" fontId="1" fillId="2" borderId="3" xfId="0" applyFont="1" applyFill="1" applyBorder="1" applyAlignment="1">
      <alignment horizontal="left" vertical="center"/>
    </xf>
    <xf numFmtId="165" fontId="1" fillId="2" borderId="3" xfId="0" applyNumberFormat="1" applyFont="1" applyFill="1" applyBorder="1" applyAlignment="1">
      <alignment horizontal="left" vertical="center"/>
    </xf>
    <xf numFmtId="164" fontId="4" fillId="2" borderId="10" xfId="0" applyNumberFormat="1" applyFont="1" applyFill="1" applyBorder="1" applyAlignment="1">
      <alignment vertical="center"/>
    </xf>
    <xf numFmtId="168" fontId="1" fillId="2" borderId="10" xfId="0" applyNumberFormat="1" applyFont="1" applyFill="1" applyBorder="1" applyAlignment="1">
      <alignment vertical="center"/>
    </xf>
    <xf numFmtId="164" fontId="2" fillId="2" borderId="10" xfId="0" applyNumberFormat="1" applyFont="1" applyFill="1" applyBorder="1" applyAlignment="1">
      <alignment vertical="center"/>
    </xf>
    <xf numFmtId="164" fontId="1" fillId="2" borderId="10" xfId="0" applyNumberFormat="1" applyFont="1" applyFill="1" applyBorder="1" applyAlignment="1">
      <alignment vertical="center"/>
    </xf>
    <xf numFmtId="0" fontId="18" fillId="2" borderId="3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19" fillId="2" borderId="3" xfId="0" applyFont="1" applyFill="1" applyBorder="1" applyAlignment="1">
      <alignment vertical="top"/>
    </xf>
    <xf numFmtId="0" fontId="1" fillId="2" borderId="3" xfId="0" applyFont="1" applyFill="1" applyBorder="1" applyAlignment="1">
      <alignment vertical="top" wrapText="1"/>
    </xf>
    <xf numFmtId="0" fontId="20" fillId="2" borderId="3" xfId="0" applyFont="1" applyFill="1" applyBorder="1" applyAlignment="1">
      <alignment vertical="top"/>
    </xf>
    <xf numFmtId="0" fontId="21" fillId="2" borderId="3" xfId="0" applyFont="1" applyFill="1" applyBorder="1" applyAlignment="1">
      <alignment vertical="top"/>
    </xf>
    <xf numFmtId="0" fontId="18" fillId="2" borderId="3" xfId="0" applyFont="1" applyFill="1" applyBorder="1" applyAlignment="1">
      <alignment vertical="top"/>
    </xf>
    <xf numFmtId="0" fontId="22" fillId="2" borderId="0" xfId="0" applyFont="1" applyFill="1" applyAlignment="1">
      <alignment vertical="center"/>
    </xf>
    <xf numFmtId="0" fontId="23" fillId="2" borderId="2" xfId="0" applyFont="1" applyFill="1" applyBorder="1" applyAlignment="1">
      <alignment vertical="center"/>
    </xf>
    <xf numFmtId="0" fontId="24" fillId="2" borderId="0" xfId="0" applyFont="1" applyFill="1" applyAlignment="1">
      <alignment vertical="center"/>
    </xf>
    <xf numFmtId="166" fontId="25" fillId="2" borderId="0" xfId="0" applyNumberFormat="1" applyFont="1" applyFill="1" applyAlignment="1">
      <alignment horizontal="left" vertical="center"/>
    </xf>
    <xf numFmtId="165" fontId="25" fillId="2" borderId="0" xfId="0" applyNumberFormat="1" applyFont="1" applyFill="1" applyAlignment="1">
      <alignment vertical="center"/>
    </xf>
    <xf numFmtId="0" fontId="25" fillId="2" borderId="0" xfId="0" applyFont="1" applyFill="1" applyAlignment="1">
      <alignment vertical="center"/>
    </xf>
    <xf numFmtId="164" fontId="25" fillId="2" borderId="0" xfId="0" applyNumberFormat="1" applyFont="1" applyFill="1" applyAlignment="1">
      <alignment horizontal="left" vertical="center"/>
    </xf>
    <xf numFmtId="1" fontId="25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5">
    <dxf>
      <font>
        <b/>
        <color rgb="FFB0362A"/>
      </font>
    </dxf>
    <dxf>
      <font>
        <b/>
      </font>
      <fill>
        <patternFill>
          <bgColor rgb="FFDDE7D8"/>
        </patternFill>
      </fill>
    </dxf>
    <dxf>
      <font>
        <color rgb="FFB0362A"/>
      </font>
    </dxf>
    <dxf>
      <font>
        <color rgb="FF93A398"/>
      </font>
    </dxf>
    <dxf>
      <fill>
        <patternFill>
          <bgColor rgb="FFDDE7D8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>
        <c:manualLayout>
          <c:layoutTarget val="inner"/>
          <c:xMode val="edge"/>
          <c:yMode val="edge"/>
          <c:x val="0.085000000000000006"/>
          <c:y val="0.040000000000000001"/>
          <c:w val="0.89500000000000002"/>
          <c:h val="0.85999999999999999"/>
        </c:manualLayout>
      </c:layout>
      <c:lineChart>
        <c:grouping val="standard"/>
        <c:ser>
          <c:idx val="0"/>
          <c:order val="0"/>
          <c:tx>
            <c:strRef>
              <c:f>'Workings'!$C$32</c:f>
              <c:strCache>
                <c:ptCount val="1"/>
                <c:pt idx="0">
                  <c:v>Floor $5,000</c:v>
                </c:pt>
              </c:strCache>
            </c:strRef>
          </c:tx>
          <c:spPr>
            <a:ln w="15875">
              <a:solidFill>
                <a:srgbClr val="B0362A"/>
              </a:solidFill>
            </a:ln>
          </c:spPr>
          <c:marker>
            <c:symbol val="none"/>
          </c:marker>
          <c:cat>
            <c:numRef>
              <c:f>'Workings'!$E$6:$E$95</c:f>
              <c:numCache>
                <c:formatCode>General</c:formatCode>
                <c:ptCount val="90"/>
                <c:pt idx="0">
                  <c:v>46328.0</c:v>
                </c:pt>
                <c:pt idx="1">
                  <c:v>46329.0</c:v>
                </c:pt>
                <c:pt idx="2">
                  <c:v>46330.0</c:v>
                </c:pt>
                <c:pt idx="3">
                  <c:v>46331.0</c:v>
                </c:pt>
                <c:pt idx="4">
                  <c:v>46332.0</c:v>
                </c:pt>
                <c:pt idx="5">
                  <c:v>46333.0</c:v>
                </c:pt>
                <c:pt idx="6">
                  <c:v>46334.0</c:v>
                </c:pt>
                <c:pt idx="7">
                  <c:v>46335.0</c:v>
                </c:pt>
                <c:pt idx="8">
                  <c:v>46336.0</c:v>
                </c:pt>
                <c:pt idx="9">
                  <c:v>46337.0</c:v>
                </c:pt>
                <c:pt idx="10">
                  <c:v>46338.0</c:v>
                </c:pt>
                <c:pt idx="11">
                  <c:v>46339.0</c:v>
                </c:pt>
                <c:pt idx="12">
                  <c:v>46340.0</c:v>
                </c:pt>
                <c:pt idx="13">
                  <c:v>46341.0</c:v>
                </c:pt>
                <c:pt idx="14">
                  <c:v>46342.0</c:v>
                </c:pt>
                <c:pt idx="15">
                  <c:v>46343.0</c:v>
                </c:pt>
                <c:pt idx="16">
                  <c:v>46344.0</c:v>
                </c:pt>
                <c:pt idx="17">
                  <c:v>46345.0</c:v>
                </c:pt>
                <c:pt idx="18">
                  <c:v>46346.0</c:v>
                </c:pt>
                <c:pt idx="19">
                  <c:v>46347.0</c:v>
                </c:pt>
                <c:pt idx="20">
                  <c:v>46348.0</c:v>
                </c:pt>
                <c:pt idx="21">
                  <c:v>46349.0</c:v>
                </c:pt>
                <c:pt idx="22">
                  <c:v>46350.0</c:v>
                </c:pt>
                <c:pt idx="23">
                  <c:v>46351.0</c:v>
                </c:pt>
                <c:pt idx="24">
                  <c:v>46352.0</c:v>
                </c:pt>
                <c:pt idx="25">
                  <c:v>46353.0</c:v>
                </c:pt>
                <c:pt idx="26">
                  <c:v>46354.0</c:v>
                </c:pt>
                <c:pt idx="27">
                  <c:v>46355.0</c:v>
                </c:pt>
                <c:pt idx="28">
                  <c:v>46356.0</c:v>
                </c:pt>
                <c:pt idx="29">
                  <c:v>46357.0</c:v>
                </c:pt>
                <c:pt idx="30">
                  <c:v>46358.0</c:v>
                </c:pt>
                <c:pt idx="31">
                  <c:v>46359.0</c:v>
                </c:pt>
                <c:pt idx="32">
                  <c:v>46360.0</c:v>
                </c:pt>
                <c:pt idx="33">
                  <c:v>46361.0</c:v>
                </c:pt>
                <c:pt idx="34">
                  <c:v>46362.0</c:v>
                </c:pt>
                <c:pt idx="35">
                  <c:v>46363.0</c:v>
                </c:pt>
                <c:pt idx="36">
                  <c:v>46364.0</c:v>
                </c:pt>
                <c:pt idx="37">
                  <c:v>46365.0</c:v>
                </c:pt>
                <c:pt idx="38">
                  <c:v>46366.0</c:v>
                </c:pt>
                <c:pt idx="39">
                  <c:v>46367.0</c:v>
                </c:pt>
                <c:pt idx="40">
                  <c:v>46368.0</c:v>
                </c:pt>
                <c:pt idx="41">
                  <c:v>46369.0</c:v>
                </c:pt>
                <c:pt idx="42">
                  <c:v>46370.0</c:v>
                </c:pt>
                <c:pt idx="43">
                  <c:v>46371.0</c:v>
                </c:pt>
                <c:pt idx="44">
                  <c:v>46372.0</c:v>
                </c:pt>
                <c:pt idx="45">
                  <c:v>46373.0</c:v>
                </c:pt>
                <c:pt idx="46">
                  <c:v>46374.0</c:v>
                </c:pt>
                <c:pt idx="47">
                  <c:v>46375.0</c:v>
                </c:pt>
                <c:pt idx="48">
                  <c:v>46376.0</c:v>
                </c:pt>
                <c:pt idx="49">
                  <c:v>46377.0</c:v>
                </c:pt>
                <c:pt idx="50">
                  <c:v>46378.0</c:v>
                </c:pt>
                <c:pt idx="51">
                  <c:v>46379.0</c:v>
                </c:pt>
                <c:pt idx="52">
                  <c:v>46380.0</c:v>
                </c:pt>
                <c:pt idx="53">
                  <c:v>46381.0</c:v>
                </c:pt>
                <c:pt idx="54">
                  <c:v>46382.0</c:v>
                </c:pt>
                <c:pt idx="55">
                  <c:v>46383.0</c:v>
                </c:pt>
                <c:pt idx="56">
                  <c:v>46384.0</c:v>
                </c:pt>
                <c:pt idx="57">
                  <c:v>46385.0</c:v>
                </c:pt>
                <c:pt idx="58">
                  <c:v>46386.0</c:v>
                </c:pt>
                <c:pt idx="59">
                  <c:v>46387.0</c:v>
                </c:pt>
                <c:pt idx="60">
                  <c:v>46388.0</c:v>
                </c:pt>
                <c:pt idx="61">
                  <c:v>46389.0</c:v>
                </c:pt>
                <c:pt idx="62">
                  <c:v>46390.0</c:v>
                </c:pt>
                <c:pt idx="63">
                  <c:v>46391.0</c:v>
                </c:pt>
                <c:pt idx="64">
                  <c:v>46392.0</c:v>
                </c:pt>
                <c:pt idx="65">
                  <c:v>46393.0</c:v>
                </c:pt>
                <c:pt idx="66">
                  <c:v>46394.0</c:v>
                </c:pt>
                <c:pt idx="67">
                  <c:v>46395.0</c:v>
                </c:pt>
                <c:pt idx="68">
                  <c:v>46396.0</c:v>
                </c:pt>
                <c:pt idx="69">
                  <c:v>46397.0</c:v>
                </c:pt>
                <c:pt idx="70">
                  <c:v>46398.0</c:v>
                </c:pt>
                <c:pt idx="71">
                  <c:v>46399.0</c:v>
                </c:pt>
                <c:pt idx="72">
                  <c:v>46400.0</c:v>
                </c:pt>
                <c:pt idx="73">
                  <c:v>46401.0</c:v>
                </c:pt>
                <c:pt idx="74">
                  <c:v>46402.0</c:v>
                </c:pt>
                <c:pt idx="75">
                  <c:v>46403.0</c:v>
                </c:pt>
                <c:pt idx="76">
                  <c:v>46404.0</c:v>
                </c:pt>
                <c:pt idx="77">
                  <c:v>46405.0</c:v>
                </c:pt>
                <c:pt idx="78">
                  <c:v>46406.0</c:v>
                </c:pt>
                <c:pt idx="79">
                  <c:v>46407.0</c:v>
                </c:pt>
                <c:pt idx="80">
                  <c:v>46408.0</c:v>
                </c:pt>
                <c:pt idx="81">
                  <c:v>46409.0</c:v>
                </c:pt>
                <c:pt idx="82">
                  <c:v>46410.0</c:v>
                </c:pt>
                <c:pt idx="83">
                  <c:v>46411.0</c:v>
                </c:pt>
                <c:pt idx="84">
                  <c:v>46412.0</c:v>
                </c:pt>
                <c:pt idx="85">
                  <c:v>46413.0</c:v>
                </c:pt>
                <c:pt idx="86">
                  <c:v>46414.0</c:v>
                </c:pt>
                <c:pt idx="87">
                  <c:v>46415.0</c:v>
                </c:pt>
                <c:pt idx="88">
                  <c:v>46416.0</c:v>
                </c:pt>
                <c:pt idx="89">
                  <c:v>46417.0</c:v>
                </c:pt>
              </c:numCache>
            </c:numRef>
          </c:cat>
          <c:val>
            <c:numRef>
              <c:f>'Workings'!$G$6:$G$95</c:f>
              <c:numCache>
                <c:formatCode>General</c:formatCode>
                <c:ptCount val="90"/>
                <c:pt idx="0">
                  <c:v>5000.0</c:v>
                </c:pt>
                <c:pt idx="1">
                  <c:v>5000.0</c:v>
                </c:pt>
                <c:pt idx="2">
                  <c:v>5000.0</c:v>
                </c:pt>
                <c:pt idx="3">
                  <c:v>5000.0</c:v>
                </c:pt>
                <c:pt idx="4">
                  <c:v>5000.0</c:v>
                </c:pt>
                <c:pt idx="5">
                  <c:v>5000.0</c:v>
                </c:pt>
                <c:pt idx="6">
                  <c:v>5000.0</c:v>
                </c:pt>
                <c:pt idx="7">
                  <c:v>5000.0</c:v>
                </c:pt>
                <c:pt idx="8">
                  <c:v>5000.0</c:v>
                </c:pt>
                <c:pt idx="9">
                  <c:v>5000.0</c:v>
                </c:pt>
                <c:pt idx="10">
                  <c:v>5000.0</c:v>
                </c:pt>
                <c:pt idx="11">
                  <c:v>5000.0</c:v>
                </c:pt>
                <c:pt idx="12">
                  <c:v>5000.0</c:v>
                </c:pt>
                <c:pt idx="13">
                  <c:v>5000.0</c:v>
                </c:pt>
                <c:pt idx="14">
                  <c:v>5000.0</c:v>
                </c:pt>
                <c:pt idx="15">
                  <c:v>5000.0</c:v>
                </c:pt>
                <c:pt idx="16">
                  <c:v>5000.0</c:v>
                </c:pt>
                <c:pt idx="17">
                  <c:v>5000.0</c:v>
                </c:pt>
                <c:pt idx="18">
                  <c:v>5000.0</c:v>
                </c:pt>
                <c:pt idx="19">
                  <c:v>5000.0</c:v>
                </c:pt>
                <c:pt idx="20">
                  <c:v>5000.0</c:v>
                </c:pt>
                <c:pt idx="21">
                  <c:v>5000.0</c:v>
                </c:pt>
                <c:pt idx="22">
                  <c:v>5000.0</c:v>
                </c:pt>
                <c:pt idx="23">
                  <c:v>5000.0</c:v>
                </c:pt>
                <c:pt idx="24">
                  <c:v>5000.0</c:v>
                </c:pt>
                <c:pt idx="25">
                  <c:v>5000.0</c:v>
                </c:pt>
                <c:pt idx="26">
                  <c:v>5000.0</c:v>
                </c:pt>
                <c:pt idx="27">
                  <c:v>5000.0</c:v>
                </c:pt>
                <c:pt idx="28">
                  <c:v>5000.0</c:v>
                </c:pt>
                <c:pt idx="29">
                  <c:v>5000.0</c:v>
                </c:pt>
                <c:pt idx="30">
                  <c:v>5000.0</c:v>
                </c:pt>
                <c:pt idx="31">
                  <c:v>5000.0</c:v>
                </c:pt>
                <c:pt idx="32">
                  <c:v>5000.0</c:v>
                </c:pt>
                <c:pt idx="33">
                  <c:v>5000.0</c:v>
                </c:pt>
                <c:pt idx="34">
                  <c:v>5000.0</c:v>
                </c:pt>
                <c:pt idx="35">
                  <c:v>5000.0</c:v>
                </c:pt>
                <c:pt idx="36">
                  <c:v>5000.0</c:v>
                </c:pt>
                <c:pt idx="37">
                  <c:v>5000.0</c:v>
                </c:pt>
                <c:pt idx="38">
                  <c:v>5000.0</c:v>
                </c:pt>
                <c:pt idx="39">
                  <c:v>5000.0</c:v>
                </c:pt>
                <c:pt idx="40">
                  <c:v>5000.0</c:v>
                </c:pt>
                <c:pt idx="41">
                  <c:v>5000.0</c:v>
                </c:pt>
                <c:pt idx="42">
                  <c:v>5000.0</c:v>
                </c:pt>
                <c:pt idx="43">
                  <c:v>5000.0</c:v>
                </c:pt>
                <c:pt idx="44">
                  <c:v>5000.0</c:v>
                </c:pt>
                <c:pt idx="45">
                  <c:v>5000.0</c:v>
                </c:pt>
                <c:pt idx="46">
                  <c:v>5000.0</c:v>
                </c:pt>
                <c:pt idx="47">
                  <c:v>5000.0</c:v>
                </c:pt>
                <c:pt idx="48">
                  <c:v>5000.0</c:v>
                </c:pt>
                <c:pt idx="49">
                  <c:v>5000.0</c:v>
                </c:pt>
                <c:pt idx="50">
                  <c:v>5000.0</c:v>
                </c:pt>
                <c:pt idx="51">
                  <c:v>5000.0</c:v>
                </c:pt>
                <c:pt idx="52">
                  <c:v>5000.0</c:v>
                </c:pt>
                <c:pt idx="53">
                  <c:v>5000.0</c:v>
                </c:pt>
                <c:pt idx="54">
                  <c:v>5000.0</c:v>
                </c:pt>
                <c:pt idx="55">
                  <c:v>5000.0</c:v>
                </c:pt>
                <c:pt idx="56">
                  <c:v>5000.0</c:v>
                </c:pt>
                <c:pt idx="57">
                  <c:v>5000.0</c:v>
                </c:pt>
                <c:pt idx="58">
                  <c:v>5000.0</c:v>
                </c:pt>
                <c:pt idx="59">
                  <c:v>5000.0</c:v>
                </c:pt>
                <c:pt idx="60">
                  <c:v>5000.0</c:v>
                </c:pt>
                <c:pt idx="61">
                  <c:v>5000.0</c:v>
                </c:pt>
                <c:pt idx="62">
                  <c:v>5000.0</c:v>
                </c:pt>
                <c:pt idx="63">
                  <c:v>5000.0</c:v>
                </c:pt>
                <c:pt idx="64">
                  <c:v>5000.0</c:v>
                </c:pt>
                <c:pt idx="65">
                  <c:v>5000.0</c:v>
                </c:pt>
                <c:pt idx="66">
                  <c:v>5000.0</c:v>
                </c:pt>
                <c:pt idx="67">
                  <c:v>5000.0</c:v>
                </c:pt>
                <c:pt idx="68">
                  <c:v>5000.0</c:v>
                </c:pt>
                <c:pt idx="69">
                  <c:v>5000.0</c:v>
                </c:pt>
                <c:pt idx="70">
                  <c:v>5000.0</c:v>
                </c:pt>
                <c:pt idx="71">
                  <c:v>5000.0</c:v>
                </c:pt>
                <c:pt idx="72">
                  <c:v>5000.0</c:v>
                </c:pt>
                <c:pt idx="73">
                  <c:v>5000.0</c:v>
                </c:pt>
                <c:pt idx="74">
                  <c:v>5000.0</c:v>
                </c:pt>
                <c:pt idx="75">
                  <c:v>5000.0</c:v>
                </c:pt>
                <c:pt idx="76">
                  <c:v>5000.0</c:v>
                </c:pt>
                <c:pt idx="77">
                  <c:v>5000.0</c:v>
                </c:pt>
                <c:pt idx="78">
                  <c:v>5000.0</c:v>
                </c:pt>
                <c:pt idx="79">
                  <c:v>5000.0</c:v>
                </c:pt>
                <c:pt idx="80">
                  <c:v>5000.0</c:v>
                </c:pt>
                <c:pt idx="81">
                  <c:v>5000.0</c:v>
                </c:pt>
                <c:pt idx="82">
                  <c:v>5000.0</c:v>
                </c:pt>
                <c:pt idx="83">
                  <c:v>5000.0</c:v>
                </c:pt>
                <c:pt idx="84">
                  <c:v>5000.0</c:v>
                </c:pt>
                <c:pt idx="85">
                  <c:v>5000.0</c:v>
                </c:pt>
                <c:pt idx="86">
                  <c:v>5000.0</c:v>
                </c:pt>
                <c:pt idx="87">
                  <c:v>5000.0</c:v>
                </c:pt>
                <c:pt idx="88">
                  <c:v>5000.0</c:v>
                </c:pt>
                <c:pt idx="89">
                  <c:v>5000.0</c:v>
                </c:pt>
              </c:numCache>
            </c:numRef>
          </c:val>
        </c:ser>
        <c:ser>
          <c:idx val="1"/>
          <c:order val="1"/>
          <c:tx>
            <c:v>If late</c:v>
          </c:tx>
          <c:spPr>
            <a:ln w="15875">
              <a:solidFill>
                <a:srgbClr val="747B72"/>
              </a:solidFill>
              <a:prstDash val="dash"/>
            </a:ln>
          </c:spPr>
          <c:marker>
            <c:symbol val="none"/>
          </c:marker>
          <c:cat>
            <c:numRef>
              <c:f>'Workings'!$E$6:$E$95</c:f>
              <c:numCache>
                <c:formatCode>General</c:formatCode>
                <c:ptCount val="90"/>
                <c:pt idx="0">
                  <c:v>46328.0</c:v>
                </c:pt>
                <c:pt idx="1">
                  <c:v>46329.0</c:v>
                </c:pt>
                <c:pt idx="2">
                  <c:v>46330.0</c:v>
                </c:pt>
                <c:pt idx="3">
                  <c:v>46331.0</c:v>
                </c:pt>
                <c:pt idx="4">
                  <c:v>46332.0</c:v>
                </c:pt>
                <c:pt idx="5">
                  <c:v>46333.0</c:v>
                </c:pt>
                <c:pt idx="6">
                  <c:v>46334.0</c:v>
                </c:pt>
                <c:pt idx="7">
                  <c:v>46335.0</c:v>
                </c:pt>
                <c:pt idx="8">
                  <c:v>46336.0</c:v>
                </c:pt>
                <c:pt idx="9">
                  <c:v>46337.0</c:v>
                </c:pt>
                <c:pt idx="10">
                  <c:v>46338.0</c:v>
                </c:pt>
                <c:pt idx="11">
                  <c:v>46339.0</c:v>
                </c:pt>
                <c:pt idx="12">
                  <c:v>46340.0</c:v>
                </c:pt>
                <c:pt idx="13">
                  <c:v>46341.0</c:v>
                </c:pt>
                <c:pt idx="14">
                  <c:v>46342.0</c:v>
                </c:pt>
                <c:pt idx="15">
                  <c:v>46343.0</c:v>
                </c:pt>
                <c:pt idx="16">
                  <c:v>46344.0</c:v>
                </c:pt>
                <c:pt idx="17">
                  <c:v>46345.0</c:v>
                </c:pt>
                <c:pt idx="18">
                  <c:v>46346.0</c:v>
                </c:pt>
                <c:pt idx="19">
                  <c:v>46347.0</c:v>
                </c:pt>
                <c:pt idx="20">
                  <c:v>46348.0</c:v>
                </c:pt>
                <c:pt idx="21">
                  <c:v>46349.0</c:v>
                </c:pt>
                <c:pt idx="22">
                  <c:v>46350.0</c:v>
                </c:pt>
                <c:pt idx="23">
                  <c:v>46351.0</c:v>
                </c:pt>
                <c:pt idx="24">
                  <c:v>46352.0</c:v>
                </c:pt>
                <c:pt idx="25">
                  <c:v>46353.0</c:v>
                </c:pt>
                <c:pt idx="26">
                  <c:v>46354.0</c:v>
                </c:pt>
                <c:pt idx="27">
                  <c:v>46355.0</c:v>
                </c:pt>
                <c:pt idx="28">
                  <c:v>46356.0</c:v>
                </c:pt>
                <c:pt idx="29">
                  <c:v>46357.0</c:v>
                </c:pt>
                <c:pt idx="30">
                  <c:v>46358.0</c:v>
                </c:pt>
                <c:pt idx="31">
                  <c:v>46359.0</c:v>
                </c:pt>
                <c:pt idx="32">
                  <c:v>46360.0</c:v>
                </c:pt>
                <c:pt idx="33">
                  <c:v>46361.0</c:v>
                </c:pt>
                <c:pt idx="34">
                  <c:v>46362.0</c:v>
                </c:pt>
                <c:pt idx="35">
                  <c:v>46363.0</c:v>
                </c:pt>
                <c:pt idx="36">
                  <c:v>46364.0</c:v>
                </c:pt>
                <c:pt idx="37">
                  <c:v>46365.0</c:v>
                </c:pt>
                <c:pt idx="38">
                  <c:v>46366.0</c:v>
                </c:pt>
                <c:pt idx="39">
                  <c:v>46367.0</c:v>
                </c:pt>
                <c:pt idx="40">
                  <c:v>46368.0</c:v>
                </c:pt>
                <c:pt idx="41">
                  <c:v>46369.0</c:v>
                </c:pt>
                <c:pt idx="42">
                  <c:v>46370.0</c:v>
                </c:pt>
                <c:pt idx="43">
                  <c:v>46371.0</c:v>
                </c:pt>
                <c:pt idx="44">
                  <c:v>46372.0</c:v>
                </c:pt>
                <c:pt idx="45">
                  <c:v>46373.0</c:v>
                </c:pt>
                <c:pt idx="46">
                  <c:v>46374.0</c:v>
                </c:pt>
                <c:pt idx="47">
                  <c:v>46375.0</c:v>
                </c:pt>
                <c:pt idx="48">
                  <c:v>46376.0</c:v>
                </c:pt>
                <c:pt idx="49">
                  <c:v>46377.0</c:v>
                </c:pt>
                <c:pt idx="50">
                  <c:v>46378.0</c:v>
                </c:pt>
                <c:pt idx="51">
                  <c:v>46379.0</c:v>
                </c:pt>
                <c:pt idx="52">
                  <c:v>46380.0</c:v>
                </c:pt>
                <c:pt idx="53">
                  <c:v>46381.0</c:v>
                </c:pt>
                <c:pt idx="54">
                  <c:v>46382.0</c:v>
                </c:pt>
                <c:pt idx="55">
                  <c:v>46383.0</c:v>
                </c:pt>
                <c:pt idx="56">
                  <c:v>46384.0</c:v>
                </c:pt>
                <c:pt idx="57">
                  <c:v>46385.0</c:v>
                </c:pt>
                <c:pt idx="58">
                  <c:v>46386.0</c:v>
                </c:pt>
                <c:pt idx="59">
                  <c:v>46387.0</c:v>
                </c:pt>
                <c:pt idx="60">
                  <c:v>46388.0</c:v>
                </c:pt>
                <c:pt idx="61">
                  <c:v>46389.0</c:v>
                </c:pt>
                <c:pt idx="62">
                  <c:v>46390.0</c:v>
                </c:pt>
                <c:pt idx="63">
                  <c:v>46391.0</c:v>
                </c:pt>
                <c:pt idx="64">
                  <c:v>46392.0</c:v>
                </c:pt>
                <c:pt idx="65">
                  <c:v>46393.0</c:v>
                </c:pt>
                <c:pt idx="66">
                  <c:v>46394.0</c:v>
                </c:pt>
                <c:pt idx="67">
                  <c:v>46395.0</c:v>
                </c:pt>
                <c:pt idx="68">
                  <c:v>46396.0</c:v>
                </c:pt>
                <c:pt idx="69">
                  <c:v>46397.0</c:v>
                </c:pt>
                <c:pt idx="70">
                  <c:v>46398.0</c:v>
                </c:pt>
                <c:pt idx="71">
                  <c:v>46399.0</c:v>
                </c:pt>
                <c:pt idx="72">
                  <c:v>46400.0</c:v>
                </c:pt>
                <c:pt idx="73">
                  <c:v>46401.0</c:v>
                </c:pt>
                <c:pt idx="74">
                  <c:v>46402.0</c:v>
                </c:pt>
                <c:pt idx="75">
                  <c:v>46403.0</c:v>
                </c:pt>
                <c:pt idx="76">
                  <c:v>46404.0</c:v>
                </c:pt>
                <c:pt idx="77">
                  <c:v>46405.0</c:v>
                </c:pt>
                <c:pt idx="78">
                  <c:v>46406.0</c:v>
                </c:pt>
                <c:pt idx="79">
                  <c:v>46407.0</c:v>
                </c:pt>
                <c:pt idx="80">
                  <c:v>46408.0</c:v>
                </c:pt>
                <c:pt idx="81">
                  <c:v>46409.0</c:v>
                </c:pt>
                <c:pt idx="82">
                  <c:v>46410.0</c:v>
                </c:pt>
                <c:pt idx="83">
                  <c:v>46411.0</c:v>
                </c:pt>
                <c:pt idx="84">
                  <c:v>46412.0</c:v>
                </c:pt>
                <c:pt idx="85">
                  <c:v>46413.0</c:v>
                </c:pt>
                <c:pt idx="86">
                  <c:v>46414.0</c:v>
                </c:pt>
                <c:pt idx="87">
                  <c:v>46415.0</c:v>
                </c:pt>
                <c:pt idx="88">
                  <c:v>46416.0</c:v>
                </c:pt>
                <c:pt idx="89">
                  <c:v>46417.0</c:v>
                </c:pt>
              </c:numCache>
            </c:numRef>
          </c:cat>
          <c:val>
            <c:numRef>
              <c:f>'Workings'!$H$6:$H$95</c:f>
              <c:numCache>
                <c:formatCode>General</c:formatCode>
                <c:ptCount val="90"/>
                <c:pt idx="0">
                  <c:v>11400.0</c:v>
                </c:pt>
                <c:pt idx="1">
                  <c:v>11400.0</c:v>
                </c:pt>
                <c:pt idx="2">
                  <c:v>11400.0</c:v>
                </c:pt>
                <c:pt idx="3">
                  <c:v>11400.0</c:v>
                </c:pt>
                <c:pt idx="4">
                  <c:v>10600.0</c:v>
                </c:pt>
                <c:pt idx="5">
                  <c:v>10600.0</c:v>
                </c:pt>
                <c:pt idx="6">
                  <c:v>10600.0</c:v>
                </c:pt>
                <c:pt idx="7">
                  <c:v>10410.0</c:v>
                </c:pt>
                <c:pt idx="8">
                  <c:v>10410.0</c:v>
                </c:pt>
                <c:pt idx="9">
                  <c:v>10410.0</c:v>
                </c:pt>
                <c:pt idx="10">
                  <c:v>10410.0</c:v>
                </c:pt>
                <c:pt idx="11">
                  <c:v>13010.0</c:v>
                </c:pt>
                <c:pt idx="12">
                  <c:v>13010.0</c:v>
                </c:pt>
                <c:pt idx="13">
                  <c:v>11160.0</c:v>
                </c:pt>
                <c:pt idx="14">
                  <c:v>11160.0</c:v>
                </c:pt>
                <c:pt idx="15">
                  <c:v>11160.0</c:v>
                </c:pt>
                <c:pt idx="16">
                  <c:v>11160.0</c:v>
                </c:pt>
                <c:pt idx="17">
                  <c:v>11160.0</c:v>
                </c:pt>
                <c:pt idx="18">
                  <c:v>10360.0</c:v>
                </c:pt>
                <c:pt idx="19">
                  <c:v>10360.0</c:v>
                </c:pt>
                <c:pt idx="20">
                  <c:v>10360.0</c:v>
                </c:pt>
                <c:pt idx="21">
                  <c:v>10360.0</c:v>
                </c:pt>
                <c:pt idx="22">
                  <c:v>10360.0</c:v>
                </c:pt>
                <c:pt idx="23">
                  <c:v>10360.0</c:v>
                </c:pt>
                <c:pt idx="24">
                  <c:v>10360.0</c:v>
                </c:pt>
                <c:pt idx="25">
                  <c:v>8560.0</c:v>
                </c:pt>
                <c:pt idx="26">
                  <c:v>8560.0</c:v>
                </c:pt>
                <c:pt idx="27">
                  <c:v>8560.0</c:v>
                </c:pt>
                <c:pt idx="28">
                  <c:v>4260.0</c:v>
                </c:pt>
                <c:pt idx="29">
                  <c:v>660.0</c:v>
                </c:pt>
                <c:pt idx="30">
                  <c:v>660.0</c:v>
                </c:pt>
                <c:pt idx="31">
                  <c:v>660.0</c:v>
                </c:pt>
                <c:pt idx="32">
                  <c:v>9660.0</c:v>
                </c:pt>
                <c:pt idx="33">
                  <c:v>9660.0</c:v>
                </c:pt>
                <c:pt idx="34">
                  <c:v>9660.0</c:v>
                </c:pt>
                <c:pt idx="35">
                  <c:v>9660.0</c:v>
                </c:pt>
                <c:pt idx="36">
                  <c:v>9660.0</c:v>
                </c:pt>
                <c:pt idx="37">
                  <c:v>9470.0</c:v>
                </c:pt>
                <c:pt idx="38">
                  <c:v>6570.0</c:v>
                </c:pt>
                <c:pt idx="39">
                  <c:v>9170.0</c:v>
                </c:pt>
                <c:pt idx="40">
                  <c:v>9170.0</c:v>
                </c:pt>
                <c:pt idx="41">
                  <c:v>9170.0</c:v>
                </c:pt>
                <c:pt idx="42">
                  <c:v>12670.0</c:v>
                </c:pt>
                <c:pt idx="43">
                  <c:v>10820.0</c:v>
                </c:pt>
                <c:pt idx="44">
                  <c:v>10820.0</c:v>
                </c:pt>
                <c:pt idx="45">
                  <c:v>10820.0</c:v>
                </c:pt>
                <c:pt idx="46">
                  <c:v>8520.0</c:v>
                </c:pt>
                <c:pt idx="47">
                  <c:v>8520.0</c:v>
                </c:pt>
                <c:pt idx="48">
                  <c:v>8520.0</c:v>
                </c:pt>
                <c:pt idx="49">
                  <c:v>8520.0</c:v>
                </c:pt>
                <c:pt idx="50">
                  <c:v>8520.0</c:v>
                </c:pt>
                <c:pt idx="51">
                  <c:v>8520.0</c:v>
                </c:pt>
                <c:pt idx="52">
                  <c:v>8520.0</c:v>
                </c:pt>
                <c:pt idx="53">
                  <c:v>11120.0</c:v>
                </c:pt>
                <c:pt idx="54">
                  <c:v>11120.0</c:v>
                </c:pt>
                <c:pt idx="55">
                  <c:v>11120.0</c:v>
                </c:pt>
                <c:pt idx="56">
                  <c:v>11120.0</c:v>
                </c:pt>
                <c:pt idx="57">
                  <c:v>11120.0</c:v>
                </c:pt>
                <c:pt idx="58">
                  <c:v>11120.0</c:v>
                </c:pt>
                <c:pt idx="59">
                  <c:v>11120.0</c:v>
                </c:pt>
                <c:pt idx="60">
                  <c:v>6720.0</c:v>
                </c:pt>
                <c:pt idx="61">
                  <c:v>6720.0</c:v>
                </c:pt>
                <c:pt idx="62">
                  <c:v>6720.0</c:v>
                </c:pt>
                <c:pt idx="63">
                  <c:v>6720.0</c:v>
                </c:pt>
                <c:pt idx="64">
                  <c:v>6720.0</c:v>
                </c:pt>
                <c:pt idx="65">
                  <c:v>6720.0</c:v>
                </c:pt>
                <c:pt idx="66">
                  <c:v>6720.0</c:v>
                </c:pt>
                <c:pt idx="67">
                  <c:v>9320.0</c:v>
                </c:pt>
                <c:pt idx="68">
                  <c:v>9130.0</c:v>
                </c:pt>
                <c:pt idx="69">
                  <c:v>9130.0</c:v>
                </c:pt>
                <c:pt idx="70">
                  <c:v>9130.0</c:v>
                </c:pt>
                <c:pt idx="71">
                  <c:v>9130.0</c:v>
                </c:pt>
                <c:pt idx="72">
                  <c:v>9130.0</c:v>
                </c:pt>
                <c:pt idx="73">
                  <c:v>9130.0</c:v>
                </c:pt>
                <c:pt idx="74">
                  <c:v>6480.0</c:v>
                </c:pt>
                <c:pt idx="75">
                  <c:v>6480.0</c:v>
                </c:pt>
                <c:pt idx="76">
                  <c:v>6480.0</c:v>
                </c:pt>
                <c:pt idx="77">
                  <c:v>10680.0</c:v>
                </c:pt>
                <c:pt idx="78">
                  <c:v>10680.0</c:v>
                </c:pt>
                <c:pt idx="79">
                  <c:v>10680.0</c:v>
                </c:pt>
                <c:pt idx="80">
                  <c:v>10680.0</c:v>
                </c:pt>
                <c:pt idx="81">
                  <c:v>13280.0</c:v>
                </c:pt>
                <c:pt idx="82">
                  <c:v>13280.0</c:v>
                </c:pt>
                <c:pt idx="83">
                  <c:v>13280.0</c:v>
                </c:pt>
                <c:pt idx="84">
                  <c:v>13280.0</c:v>
                </c:pt>
                <c:pt idx="85">
                  <c:v>13280.0</c:v>
                </c:pt>
                <c:pt idx="86">
                  <c:v>13280.0</c:v>
                </c:pt>
                <c:pt idx="87">
                  <c:v>13280.0</c:v>
                </c:pt>
                <c:pt idx="88">
                  <c:v>12480.0</c:v>
                </c:pt>
                <c:pt idx="89">
                  <c:v>12480.0</c:v>
                </c:pt>
              </c:numCache>
            </c:numRef>
          </c:val>
        </c:ser>
        <c:ser>
          <c:idx val="2"/>
          <c:order val="2"/>
          <c:tx>
            <c:v>Balance</c:v>
          </c:tx>
          <c:spPr>
            <a:ln w="28575">
              <a:solidFill>
                <a:srgbClr val="17322B"/>
              </a:solidFill>
            </a:ln>
          </c:spPr>
          <c:marker>
            <c:symbol val="none"/>
          </c:marker>
          <c:cat>
            <c:numRef>
              <c:f>'Workings'!$E$6:$E$95</c:f>
              <c:numCache>
                <c:formatCode>General</c:formatCode>
                <c:ptCount val="90"/>
                <c:pt idx="0">
                  <c:v>46328.0</c:v>
                </c:pt>
                <c:pt idx="1">
                  <c:v>46329.0</c:v>
                </c:pt>
                <c:pt idx="2">
                  <c:v>46330.0</c:v>
                </c:pt>
                <c:pt idx="3">
                  <c:v>46331.0</c:v>
                </c:pt>
                <c:pt idx="4">
                  <c:v>46332.0</c:v>
                </c:pt>
                <c:pt idx="5">
                  <c:v>46333.0</c:v>
                </c:pt>
                <c:pt idx="6">
                  <c:v>46334.0</c:v>
                </c:pt>
                <c:pt idx="7">
                  <c:v>46335.0</c:v>
                </c:pt>
                <c:pt idx="8">
                  <c:v>46336.0</c:v>
                </c:pt>
                <c:pt idx="9">
                  <c:v>46337.0</c:v>
                </c:pt>
                <c:pt idx="10">
                  <c:v>46338.0</c:v>
                </c:pt>
                <c:pt idx="11">
                  <c:v>46339.0</c:v>
                </c:pt>
                <c:pt idx="12">
                  <c:v>46340.0</c:v>
                </c:pt>
                <c:pt idx="13">
                  <c:v>46341.0</c:v>
                </c:pt>
                <c:pt idx="14">
                  <c:v>46342.0</c:v>
                </c:pt>
                <c:pt idx="15">
                  <c:v>46343.0</c:v>
                </c:pt>
                <c:pt idx="16">
                  <c:v>46344.0</c:v>
                </c:pt>
                <c:pt idx="17">
                  <c:v>46345.0</c:v>
                </c:pt>
                <c:pt idx="18">
                  <c:v>46346.0</c:v>
                </c:pt>
                <c:pt idx="19">
                  <c:v>46347.0</c:v>
                </c:pt>
                <c:pt idx="20">
                  <c:v>46348.0</c:v>
                </c:pt>
                <c:pt idx="21">
                  <c:v>46349.0</c:v>
                </c:pt>
                <c:pt idx="22">
                  <c:v>46350.0</c:v>
                </c:pt>
                <c:pt idx="23">
                  <c:v>46351.0</c:v>
                </c:pt>
                <c:pt idx="24">
                  <c:v>46352.0</c:v>
                </c:pt>
                <c:pt idx="25">
                  <c:v>46353.0</c:v>
                </c:pt>
                <c:pt idx="26">
                  <c:v>46354.0</c:v>
                </c:pt>
                <c:pt idx="27">
                  <c:v>46355.0</c:v>
                </c:pt>
                <c:pt idx="28">
                  <c:v>46356.0</c:v>
                </c:pt>
                <c:pt idx="29">
                  <c:v>46357.0</c:v>
                </c:pt>
                <c:pt idx="30">
                  <c:v>46358.0</c:v>
                </c:pt>
                <c:pt idx="31">
                  <c:v>46359.0</c:v>
                </c:pt>
                <c:pt idx="32">
                  <c:v>46360.0</c:v>
                </c:pt>
                <c:pt idx="33">
                  <c:v>46361.0</c:v>
                </c:pt>
                <c:pt idx="34">
                  <c:v>46362.0</c:v>
                </c:pt>
                <c:pt idx="35">
                  <c:v>46363.0</c:v>
                </c:pt>
                <c:pt idx="36">
                  <c:v>46364.0</c:v>
                </c:pt>
                <c:pt idx="37">
                  <c:v>46365.0</c:v>
                </c:pt>
                <c:pt idx="38">
                  <c:v>46366.0</c:v>
                </c:pt>
                <c:pt idx="39">
                  <c:v>46367.0</c:v>
                </c:pt>
                <c:pt idx="40">
                  <c:v>46368.0</c:v>
                </c:pt>
                <c:pt idx="41">
                  <c:v>46369.0</c:v>
                </c:pt>
                <c:pt idx="42">
                  <c:v>46370.0</c:v>
                </c:pt>
                <c:pt idx="43">
                  <c:v>46371.0</c:v>
                </c:pt>
                <c:pt idx="44">
                  <c:v>46372.0</c:v>
                </c:pt>
                <c:pt idx="45">
                  <c:v>46373.0</c:v>
                </c:pt>
                <c:pt idx="46">
                  <c:v>46374.0</c:v>
                </c:pt>
                <c:pt idx="47">
                  <c:v>46375.0</c:v>
                </c:pt>
                <c:pt idx="48">
                  <c:v>46376.0</c:v>
                </c:pt>
                <c:pt idx="49">
                  <c:v>46377.0</c:v>
                </c:pt>
                <c:pt idx="50">
                  <c:v>46378.0</c:v>
                </c:pt>
                <c:pt idx="51">
                  <c:v>46379.0</c:v>
                </c:pt>
                <c:pt idx="52">
                  <c:v>46380.0</c:v>
                </c:pt>
                <c:pt idx="53">
                  <c:v>46381.0</c:v>
                </c:pt>
                <c:pt idx="54">
                  <c:v>46382.0</c:v>
                </c:pt>
                <c:pt idx="55">
                  <c:v>46383.0</c:v>
                </c:pt>
                <c:pt idx="56">
                  <c:v>46384.0</c:v>
                </c:pt>
                <c:pt idx="57">
                  <c:v>46385.0</c:v>
                </c:pt>
                <c:pt idx="58">
                  <c:v>46386.0</c:v>
                </c:pt>
                <c:pt idx="59">
                  <c:v>46387.0</c:v>
                </c:pt>
                <c:pt idx="60">
                  <c:v>46388.0</c:v>
                </c:pt>
                <c:pt idx="61">
                  <c:v>46389.0</c:v>
                </c:pt>
                <c:pt idx="62">
                  <c:v>46390.0</c:v>
                </c:pt>
                <c:pt idx="63">
                  <c:v>46391.0</c:v>
                </c:pt>
                <c:pt idx="64">
                  <c:v>46392.0</c:v>
                </c:pt>
                <c:pt idx="65">
                  <c:v>46393.0</c:v>
                </c:pt>
                <c:pt idx="66">
                  <c:v>46394.0</c:v>
                </c:pt>
                <c:pt idx="67">
                  <c:v>46395.0</c:v>
                </c:pt>
                <c:pt idx="68">
                  <c:v>46396.0</c:v>
                </c:pt>
                <c:pt idx="69">
                  <c:v>46397.0</c:v>
                </c:pt>
                <c:pt idx="70">
                  <c:v>46398.0</c:v>
                </c:pt>
                <c:pt idx="71">
                  <c:v>46399.0</c:v>
                </c:pt>
                <c:pt idx="72">
                  <c:v>46400.0</c:v>
                </c:pt>
                <c:pt idx="73">
                  <c:v>46401.0</c:v>
                </c:pt>
                <c:pt idx="74">
                  <c:v>46402.0</c:v>
                </c:pt>
                <c:pt idx="75">
                  <c:v>46403.0</c:v>
                </c:pt>
                <c:pt idx="76">
                  <c:v>46404.0</c:v>
                </c:pt>
                <c:pt idx="77">
                  <c:v>46405.0</c:v>
                </c:pt>
                <c:pt idx="78">
                  <c:v>46406.0</c:v>
                </c:pt>
                <c:pt idx="79">
                  <c:v>46407.0</c:v>
                </c:pt>
                <c:pt idx="80">
                  <c:v>46408.0</c:v>
                </c:pt>
                <c:pt idx="81">
                  <c:v>46409.0</c:v>
                </c:pt>
                <c:pt idx="82">
                  <c:v>46410.0</c:v>
                </c:pt>
                <c:pt idx="83">
                  <c:v>46411.0</c:v>
                </c:pt>
                <c:pt idx="84">
                  <c:v>46412.0</c:v>
                </c:pt>
                <c:pt idx="85">
                  <c:v>46413.0</c:v>
                </c:pt>
                <c:pt idx="86">
                  <c:v>46414.0</c:v>
                </c:pt>
                <c:pt idx="87">
                  <c:v>46415.0</c:v>
                </c:pt>
                <c:pt idx="88">
                  <c:v>46416.0</c:v>
                </c:pt>
                <c:pt idx="89">
                  <c:v>46417.0</c:v>
                </c:pt>
              </c:numCache>
            </c:numRef>
          </c:cat>
          <c:val>
            <c:numRef>
              <c:f>'Workings'!$F$6:$F$95</c:f>
              <c:numCache>
                <c:formatCode>General</c:formatCode>
                <c:ptCount val="90"/>
                <c:pt idx="0">
                  <c:v>11400.0</c:v>
                </c:pt>
                <c:pt idx="1">
                  <c:v>11400.0</c:v>
                </c:pt>
                <c:pt idx="2">
                  <c:v>11400.0</c:v>
                </c:pt>
                <c:pt idx="3">
                  <c:v>11400.0</c:v>
                </c:pt>
                <c:pt idx="4">
                  <c:v>10600.0</c:v>
                </c:pt>
                <c:pt idx="5">
                  <c:v>10600.0</c:v>
                </c:pt>
                <c:pt idx="6">
                  <c:v>10600.0</c:v>
                </c:pt>
                <c:pt idx="7">
                  <c:v>10410.0</c:v>
                </c:pt>
                <c:pt idx="8">
                  <c:v>10410.0</c:v>
                </c:pt>
                <c:pt idx="9">
                  <c:v>10410.0</c:v>
                </c:pt>
                <c:pt idx="10">
                  <c:v>10410.0</c:v>
                </c:pt>
                <c:pt idx="11">
                  <c:v>13010.0</c:v>
                </c:pt>
                <c:pt idx="12">
                  <c:v>13010.0</c:v>
                </c:pt>
                <c:pt idx="13">
                  <c:v>11160.0</c:v>
                </c:pt>
                <c:pt idx="14">
                  <c:v>11160.0</c:v>
                </c:pt>
                <c:pt idx="15">
                  <c:v>11160.0</c:v>
                </c:pt>
                <c:pt idx="16">
                  <c:v>11160.0</c:v>
                </c:pt>
                <c:pt idx="17">
                  <c:v>11160.0</c:v>
                </c:pt>
                <c:pt idx="18">
                  <c:v>20160.0</c:v>
                </c:pt>
                <c:pt idx="19">
                  <c:v>20160.0</c:v>
                </c:pt>
                <c:pt idx="20">
                  <c:v>20160.0</c:v>
                </c:pt>
                <c:pt idx="21">
                  <c:v>20160.0</c:v>
                </c:pt>
                <c:pt idx="22">
                  <c:v>20160.0</c:v>
                </c:pt>
                <c:pt idx="23">
                  <c:v>20160.0</c:v>
                </c:pt>
                <c:pt idx="24">
                  <c:v>20160.0</c:v>
                </c:pt>
                <c:pt idx="25">
                  <c:v>18360.0</c:v>
                </c:pt>
                <c:pt idx="26">
                  <c:v>18360.0</c:v>
                </c:pt>
                <c:pt idx="27">
                  <c:v>18360.0</c:v>
                </c:pt>
                <c:pt idx="28">
                  <c:v>14060.0</c:v>
                </c:pt>
                <c:pt idx="29">
                  <c:v>10460.0</c:v>
                </c:pt>
                <c:pt idx="30">
                  <c:v>10460.0</c:v>
                </c:pt>
                <c:pt idx="31">
                  <c:v>10460.0</c:v>
                </c:pt>
                <c:pt idx="32">
                  <c:v>9660.0</c:v>
                </c:pt>
                <c:pt idx="33">
                  <c:v>9660.0</c:v>
                </c:pt>
                <c:pt idx="34">
                  <c:v>9660.0</c:v>
                </c:pt>
                <c:pt idx="35">
                  <c:v>9660.0</c:v>
                </c:pt>
                <c:pt idx="36">
                  <c:v>9660.0</c:v>
                </c:pt>
                <c:pt idx="37">
                  <c:v>9470.0</c:v>
                </c:pt>
                <c:pt idx="38">
                  <c:v>6570.0</c:v>
                </c:pt>
                <c:pt idx="39">
                  <c:v>9170.0</c:v>
                </c:pt>
                <c:pt idx="40">
                  <c:v>9170.0</c:v>
                </c:pt>
                <c:pt idx="41">
                  <c:v>9170.0</c:v>
                </c:pt>
                <c:pt idx="42">
                  <c:v>12670.0</c:v>
                </c:pt>
                <c:pt idx="43">
                  <c:v>10820.0</c:v>
                </c:pt>
                <c:pt idx="44">
                  <c:v>10820.0</c:v>
                </c:pt>
                <c:pt idx="45">
                  <c:v>10820.0</c:v>
                </c:pt>
                <c:pt idx="46">
                  <c:v>8520.0</c:v>
                </c:pt>
                <c:pt idx="47">
                  <c:v>8520.0</c:v>
                </c:pt>
                <c:pt idx="48">
                  <c:v>8520.0</c:v>
                </c:pt>
                <c:pt idx="49">
                  <c:v>8520.0</c:v>
                </c:pt>
                <c:pt idx="50">
                  <c:v>8520.0</c:v>
                </c:pt>
                <c:pt idx="51">
                  <c:v>8520.0</c:v>
                </c:pt>
                <c:pt idx="52">
                  <c:v>8520.0</c:v>
                </c:pt>
                <c:pt idx="53">
                  <c:v>11120.0</c:v>
                </c:pt>
                <c:pt idx="54">
                  <c:v>11120.0</c:v>
                </c:pt>
                <c:pt idx="55">
                  <c:v>11120.0</c:v>
                </c:pt>
                <c:pt idx="56">
                  <c:v>11120.0</c:v>
                </c:pt>
                <c:pt idx="57">
                  <c:v>11120.0</c:v>
                </c:pt>
                <c:pt idx="58">
                  <c:v>11120.0</c:v>
                </c:pt>
                <c:pt idx="59">
                  <c:v>11120.0</c:v>
                </c:pt>
                <c:pt idx="60">
                  <c:v>6720.0</c:v>
                </c:pt>
                <c:pt idx="61">
                  <c:v>6720.0</c:v>
                </c:pt>
                <c:pt idx="62">
                  <c:v>6720.0</c:v>
                </c:pt>
                <c:pt idx="63">
                  <c:v>6720.0</c:v>
                </c:pt>
                <c:pt idx="64">
                  <c:v>6720.0</c:v>
                </c:pt>
                <c:pt idx="65">
                  <c:v>6720.0</c:v>
                </c:pt>
                <c:pt idx="66">
                  <c:v>6720.0</c:v>
                </c:pt>
                <c:pt idx="67">
                  <c:v>9320.0</c:v>
                </c:pt>
                <c:pt idx="68">
                  <c:v>9130.0</c:v>
                </c:pt>
                <c:pt idx="69">
                  <c:v>9130.0</c:v>
                </c:pt>
                <c:pt idx="70">
                  <c:v>9130.0</c:v>
                </c:pt>
                <c:pt idx="71">
                  <c:v>9130.0</c:v>
                </c:pt>
                <c:pt idx="72">
                  <c:v>9130.0</c:v>
                </c:pt>
                <c:pt idx="73">
                  <c:v>9130.0</c:v>
                </c:pt>
                <c:pt idx="74">
                  <c:v>6480.0</c:v>
                </c:pt>
                <c:pt idx="75">
                  <c:v>6480.0</c:v>
                </c:pt>
                <c:pt idx="76">
                  <c:v>6480.0</c:v>
                </c:pt>
                <c:pt idx="77">
                  <c:v>10680.0</c:v>
                </c:pt>
                <c:pt idx="78">
                  <c:v>10680.0</c:v>
                </c:pt>
                <c:pt idx="79">
                  <c:v>10680.0</c:v>
                </c:pt>
                <c:pt idx="80">
                  <c:v>10680.0</c:v>
                </c:pt>
                <c:pt idx="81">
                  <c:v>13280.0</c:v>
                </c:pt>
                <c:pt idx="82">
                  <c:v>13280.0</c:v>
                </c:pt>
                <c:pt idx="83">
                  <c:v>13280.0</c:v>
                </c:pt>
                <c:pt idx="84">
                  <c:v>13280.0</c:v>
                </c:pt>
                <c:pt idx="85">
                  <c:v>13280.0</c:v>
                </c:pt>
                <c:pt idx="86">
                  <c:v>13280.0</c:v>
                </c:pt>
                <c:pt idx="87">
                  <c:v>13280.0</c:v>
                </c:pt>
                <c:pt idx="88">
                  <c:v>12480.0</c:v>
                </c:pt>
                <c:pt idx="89">
                  <c:v>12480.0</c:v>
                </c:pt>
              </c:numCache>
            </c:numRef>
          </c:val>
        </c:ser>
        <c:ser>
          <c:idx val="3"/>
          <c:order val="3"/>
          <c:tx>
            <c:strRef>
              <c:f>'Workings'!$C$31</c:f>
              <c:strCache>
                <c:ptCount val="1"/>
                <c:pt idx="0">
                  <c:v>If late $660  ·  1 Dec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EEF3EA"/>
              </a:solidFill>
              <a:ln w="19050">
                <a:solidFill>
                  <a:srgbClr val="747B72"/>
                </a:solidFill>
              </a:ln>
            </c:spPr>
          </c:marker>
          <c:dLbls>
            <c:txPr>
              <a:bodyPr/>
              <a:lstStyle/>
              <a:p>
                <a:pPr>
                  <a:defRPr sz="1000" b="0" baseline="0">
                    <a:solidFill>
                      <a:srgbClr val="747B72"/>
                    </a:solidFill>
                    <a:latin typeface="Cambria"/>
                  </a:defRPr>
                </a:pPr>
                <a:endParaRPr lang="en-US"/>
              </a:p>
            </c:txPr>
            <c:dLblPos val="b"/>
            <c:showSerName val="1"/>
          </c:dLbls>
          <c:cat>
            <c:numRef>
              <c:f>'Workings'!$E$6:$E$95</c:f>
              <c:numCache>
                <c:formatCode>General</c:formatCode>
                <c:ptCount val="90"/>
                <c:pt idx="0">
                  <c:v>46328.0</c:v>
                </c:pt>
                <c:pt idx="1">
                  <c:v>46329.0</c:v>
                </c:pt>
                <c:pt idx="2">
                  <c:v>46330.0</c:v>
                </c:pt>
                <c:pt idx="3">
                  <c:v>46331.0</c:v>
                </c:pt>
                <c:pt idx="4">
                  <c:v>46332.0</c:v>
                </c:pt>
                <c:pt idx="5">
                  <c:v>46333.0</c:v>
                </c:pt>
                <c:pt idx="6">
                  <c:v>46334.0</c:v>
                </c:pt>
                <c:pt idx="7">
                  <c:v>46335.0</c:v>
                </c:pt>
                <c:pt idx="8">
                  <c:v>46336.0</c:v>
                </c:pt>
                <c:pt idx="9">
                  <c:v>46337.0</c:v>
                </c:pt>
                <c:pt idx="10">
                  <c:v>46338.0</c:v>
                </c:pt>
                <c:pt idx="11">
                  <c:v>46339.0</c:v>
                </c:pt>
                <c:pt idx="12">
                  <c:v>46340.0</c:v>
                </c:pt>
                <c:pt idx="13">
                  <c:v>46341.0</c:v>
                </c:pt>
                <c:pt idx="14">
                  <c:v>46342.0</c:v>
                </c:pt>
                <c:pt idx="15">
                  <c:v>46343.0</c:v>
                </c:pt>
                <c:pt idx="16">
                  <c:v>46344.0</c:v>
                </c:pt>
                <c:pt idx="17">
                  <c:v>46345.0</c:v>
                </c:pt>
                <c:pt idx="18">
                  <c:v>46346.0</c:v>
                </c:pt>
                <c:pt idx="19">
                  <c:v>46347.0</c:v>
                </c:pt>
                <c:pt idx="20">
                  <c:v>46348.0</c:v>
                </c:pt>
                <c:pt idx="21">
                  <c:v>46349.0</c:v>
                </c:pt>
                <c:pt idx="22">
                  <c:v>46350.0</c:v>
                </c:pt>
                <c:pt idx="23">
                  <c:v>46351.0</c:v>
                </c:pt>
                <c:pt idx="24">
                  <c:v>46352.0</c:v>
                </c:pt>
                <c:pt idx="25">
                  <c:v>46353.0</c:v>
                </c:pt>
                <c:pt idx="26">
                  <c:v>46354.0</c:v>
                </c:pt>
                <c:pt idx="27">
                  <c:v>46355.0</c:v>
                </c:pt>
                <c:pt idx="28">
                  <c:v>46356.0</c:v>
                </c:pt>
                <c:pt idx="29">
                  <c:v>46357.0</c:v>
                </c:pt>
                <c:pt idx="30">
                  <c:v>46358.0</c:v>
                </c:pt>
                <c:pt idx="31">
                  <c:v>46359.0</c:v>
                </c:pt>
                <c:pt idx="32">
                  <c:v>46360.0</c:v>
                </c:pt>
                <c:pt idx="33">
                  <c:v>46361.0</c:v>
                </c:pt>
                <c:pt idx="34">
                  <c:v>46362.0</c:v>
                </c:pt>
                <c:pt idx="35">
                  <c:v>46363.0</c:v>
                </c:pt>
                <c:pt idx="36">
                  <c:v>46364.0</c:v>
                </c:pt>
                <c:pt idx="37">
                  <c:v>46365.0</c:v>
                </c:pt>
                <c:pt idx="38">
                  <c:v>46366.0</c:v>
                </c:pt>
                <c:pt idx="39">
                  <c:v>46367.0</c:v>
                </c:pt>
                <c:pt idx="40">
                  <c:v>46368.0</c:v>
                </c:pt>
                <c:pt idx="41">
                  <c:v>46369.0</c:v>
                </c:pt>
                <c:pt idx="42">
                  <c:v>46370.0</c:v>
                </c:pt>
                <c:pt idx="43">
                  <c:v>46371.0</c:v>
                </c:pt>
                <c:pt idx="44">
                  <c:v>46372.0</c:v>
                </c:pt>
                <c:pt idx="45">
                  <c:v>46373.0</c:v>
                </c:pt>
                <c:pt idx="46">
                  <c:v>46374.0</c:v>
                </c:pt>
                <c:pt idx="47">
                  <c:v>46375.0</c:v>
                </c:pt>
                <c:pt idx="48">
                  <c:v>46376.0</c:v>
                </c:pt>
                <c:pt idx="49">
                  <c:v>46377.0</c:v>
                </c:pt>
                <c:pt idx="50">
                  <c:v>46378.0</c:v>
                </c:pt>
                <c:pt idx="51">
                  <c:v>46379.0</c:v>
                </c:pt>
                <c:pt idx="52">
                  <c:v>46380.0</c:v>
                </c:pt>
                <c:pt idx="53">
                  <c:v>46381.0</c:v>
                </c:pt>
                <c:pt idx="54">
                  <c:v>46382.0</c:v>
                </c:pt>
                <c:pt idx="55">
                  <c:v>46383.0</c:v>
                </c:pt>
                <c:pt idx="56">
                  <c:v>46384.0</c:v>
                </c:pt>
                <c:pt idx="57">
                  <c:v>46385.0</c:v>
                </c:pt>
                <c:pt idx="58">
                  <c:v>46386.0</c:v>
                </c:pt>
                <c:pt idx="59">
                  <c:v>46387.0</c:v>
                </c:pt>
                <c:pt idx="60">
                  <c:v>46388.0</c:v>
                </c:pt>
                <c:pt idx="61">
                  <c:v>46389.0</c:v>
                </c:pt>
                <c:pt idx="62">
                  <c:v>46390.0</c:v>
                </c:pt>
                <c:pt idx="63">
                  <c:v>46391.0</c:v>
                </c:pt>
                <c:pt idx="64">
                  <c:v>46392.0</c:v>
                </c:pt>
                <c:pt idx="65">
                  <c:v>46393.0</c:v>
                </c:pt>
                <c:pt idx="66">
                  <c:v>46394.0</c:v>
                </c:pt>
                <c:pt idx="67">
                  <c:v>46395.0</c:v>
                </c:pt>
                <c:pt idx="68">
                  <c:v>46396.0</c:v>
                </c:pt>
                <c:pt idx="69">
                  <c:v>46397.0</c:v>
                </c:pt>
                <c:pt idx="70">
                  <c:v>46398.0</c:v>
                </c:pt>
                <c:pt idx="71">
                  <c:v>46399.0</c:v>
                </c:pt>
                <c:pt idx="72">
                  <c:v>46400.0</c:v>
                </c:pt>
                <c:pt idx="73">
                  <c:v>46401.0</c:v>
                </c:pt>
                <c:pt idx="74">
                  <c:v>46402.0</c:v>
                </c:pt>
                <c:pt idx="75">
                  <c:v>46403.0</c:v>
                </c:pt>
                <c:pt idx="76">
                  <c:v>46404.0</c:v>
                </c:pt>
                <c:pt idx="77">
                  <c:v>46405.0</c:v>
                </c:pt>
                <c:pt idx="78">
                  <c:v>46406.0</c:v>
                </c:pt>
                <c:pt idx="79">
                  <c:v>46407.0</c:v>
                </c:pt>
                <c:pt idx="80">
                  <c:v>46408.0</c:v>
                </c:pt>
                <c:pt idx="81">
                  <c:v>46409.0</c:v>
                </c:pt>
                <c:pt idx="82">
                  <c:v>46410.0</c:v>
                </c:pt>
                <c:pt idx="83">
                  <c:v>46411.0</c:v>
                </c:pt>
                <c:pt idx="84">
                  <c:v>46412.0</c:v>
                </c:pt>
                <c:pt idx="85">
                  <c:v>46413.0</c:v>
                </c:pt>
                <c:pt idx="86">
                  <c:v>46414.0</c:v>
                </c:pt>
                <c:pt idx="87">
                  <c:v>46415.0</c:v>
                </c:pt>
                <c:pt idx="88">
                  <c:v>46416.0</c:v>
                </c:pt>
                <c:pt idx="89">
                  <c:v>46417.0</c:v>
                </c:pt>
              </c:numCache>
            </c:numRef>
          </c:cat>
          <c:val>
            <c:numRef>
              <c:f>'Workings'!$J$6:$J$95</c:f>
              <c:numCache>
                <c:formatCode>General</c:formatCode>
                <c:ptCount val="90"/>
                <c:pt idx="29">
                  <c:v>660.0</c:v>
                </c:pt>
              </c:numCache>
            </c:numRef>
          </c:val>
        </c:ser>
        <c:ser>
          <c:idx val="4"/>
          <c:order val="4"/>
          <c:tx>
            <c:strRef>
              <c:f>'Workings'!$C$30</c:f>
              <c:strCache>
                <c:ptCount val="1"/>
                <c:pt idx="0">
                  <c:v>Tightest $6,480  ·  15 Jan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9"/>
            <c:spPr>
              <a:solidFill>
                <a:srgbClr val="17322B"/>
              </a:solidFill>
              <a:ln w="19050">
                <a:solidFill>
                  <a:srgbClr val="EEF3EA"/>
                </a:solidFill>
              </a:ln>
            </c:spPr>
          </c:marker>
          <c:dLbls>
            <c:txPr>
              <a:bodyPr/>
              <a:lstStyle/>
              <a:p>
                <a:pPr>
                  <a:defRPr sz="1000" b="1" baseline="0">
                    <a:solidFill>
                      <a:srgbClr val="17322B"/>
                    </a:solidFill>
                    <a:latin typeface="Cambria"/>
                  </a:defRPr>
                </a:pPr>
                <a:endParaRPr lang="en-US"/>
              </a:p>
            </c:txPr>
            <c:dLblPos val="t"/>
            <c:showSerName val="1"/>
          </c:dLbls>
          <c:cat>
            <c:numRef>
              <c:f>'Workings'!$E$6:$E$95</c:f>
              <c:numCache>
                <c:formatCode>General</c:formatCode>
                <c:ptCount val="90"/>
                <c:pt idx="0">
                  <c:v>46328.0</c:v>
                </c:pt>
                <c:pt idx="1">
                  <c:v>46329.0</c:v>
                </c:pt>
                <c:pt idx="2">
                  <c:v>46330.0</c:v>
                </c:pt>
                <c:pt idx="3">
                  <c:v>46331.0</c:v>
                </c:pt>
                <c:pt idx="4">
                  <c:v>46332.0</c:v>
                </c:pt>
                <c:pt idx="5">
                  <c:v>46333.0</c:v>
                </c:pt>
                <c:pt idx="6">
                  <c:v>46334.0</c:v>
                </c:pt>
                <c:pt idx="7">
                  <c:v>46335.0</c:v>
                </c:pt>
                <c:pt idx="8">
                  <c:v>46336.0</c:v>
                </c:pt>
                <c:pt idx="9">
                  <c:v>46337.0</c:v>
                </c:pt>
                <c:pt idx="10">
                  <c:v>46338.0</c:v>
                </c:pt>
                <c:pt idx="11">
                  <c:v>46339.0</c:v>
                </c:pt>
                <c:pt idx="12">
                  <c:v>46340.0</c:v>
                </c:pt>
                <c:pt idx="13">
                  <c:v>46341.0</c:v>
                </c:pt>
                <c:pt idx="14">
                  <c:v>46342.0</c:v>
                </c:pt>
                <c:pt idx="15">
                  <c:v>46343.0</c:v>
                </c:pt>
                <c:pt idx="16">
                  <c:v>46344.0</c:v>
                </c:pt>
                <c:pt idx="17">
                  <c:v>46345.0</c:v>
                </c:pt>
                <c:pt idx="18">
                  <c:v>46346.0</c:v>
                </c:pt>
                <c:pt idx="19">
                  <c:v>46347.0</c:v>
                </c:pt>
                <c:pt idx="20">
                  <c:v>46348.0</c:v>
                </c:pt>
                <c:pt idx="21">
                  <c:v>46349.0</c:v>
                </c:pt>
                <c:pt idx="22">
                  <c:v>46350.0</c:v>
                </c:pt>
                <c:pt idx="23">
                  <c:v>46351.0</c:v>
                </c:pt>
                <c:pt idx="24">
                  <c:v>46352.0</c:v>
                </c:pt>
                <c:pt idx="25">
                  <c:v>46353.0</c:v>
                </c:pt>
                <c:pt idx="26">
                  <c:v>46354.0</c:v>
                </c:pt>
                <c:pt idx="27">
                  <c:v>46355.0</c:v>
                </c:pt>
                <c:pt idx="28">
                  <c:v>46356.0</c:v>
                </c:pt>
                <c:pt idx="29">
                  <c:v>46357.0</c:v>
                </c:pt>
                <c:pt idx="30">
                  <c:v>46358.0</c:v>
                </c:pt>
                <c:pt idx="31">
                  <c:v>46359.0</c:v>
                </c:pt>
                <c:pt idx="32">
                  <c:v>46360.0</c:v>
                </c:pt>
                <c:pt idx="33">
                  <c:v>46361.0</c:v>
                </c:pt>
                <c:pt idx="34">
                  <c:v>46362.0</c:v>
                </c:pt>
                <c:pt idx="35">
                  <c:v>46363.0</c:v>
                </c:pt>
                <c:pt idx="36">
                  <c:v>46364.0</c:v>
                </c:pt>
                <c:pt idx="37">
                  <c:v>46365.0</c:v>
                </c:pt>
                <c:pt idx="38">
                  <c:v>46366.0</c:v>
                </c:pt>
                <c:pt idx="39">
                  <c:v>46367.0</c:v>
                </c:pt>
                <c:pt idx="40">
                  <c:v>46368.0</c:v>
                </c:pt>
                <c:pt idx="41">
                  <c:v>46369.0</c:v>
                </c:pt>
                <c:pt idx="42">
                  <c:v>46370.0</c:v>
                </c:pt>
                <c:pt idx="43">
                  <c:v>46371.0</c:v>
                </c:pt>
                <c:pt idx="44">
                  <c:v>46372.0</c:v>
                </c:pt>
                <c:pt idx="45">
                  <c:v>46373.0</c:v>
                </c:pt>
                <c:pt idx="46">
                  <c:v>46374.0</c:v>
                </c:pt>
                <c:pt idx="47">
                  <c:v>46375.0</c:v>
                </c:pt>
                <c:pt idx="48">
                  <c:v>46376.0</c:v>
                </c:pt>
                <c:pt idx="49">
                  <c:v>46377.0</c:v>
                </c:pt>
                <c:pt idx="50">
                  <c:v>46378.0</c:v>
                </c:pt>
                <c:pt idx="51">
                  <c:v>46379.0</c:v>
                </c:pt>
                <c:pt idx="52">
                  <c:v>46380.0</c:v>
                </c:pt>
                <c:pt idx="53">
                  <c:v>46381.0</c:v>
                </c:pt>
                <c:pt idx="54">
                  <c:v>46382.0</c:v>
                </c:pt>
                <c:pt idx="55">
                  <c:v>46383.0</c:v>
                </c:pt>
                <c:pt idx="56">
                  <c:v>46384.0</c:v>
                </c:pt>
                <c:pt idx="57">
                  <c:v>46385.0</c:v>
                </c:pt>
                <c:pt idx="58">
                  <c:v>46386.0</c:v>
                </c:pt>
                <c:pt idx="59">
                  <c:v>46387.0</c:v>
                </c:pt>
                <c:pt idx="60">
                  <c:v>46388.0</c:v>
                </c:pt>
                <c:pt idx="61">
                  <c:v>46389.0</c:v>
                </c:pt>
                <c:pt idx="62">
                  <c:v>46390.0</c:v>
                </c:pt>
                <c:pt idx="63">
                  <c:v>46391.0</c:v>
                </c:pt>
                <c:pt idx="64">
                  <c:v>46392.0</c:v>
                </c:pt>
                <c:pt idx="65">
                  <c:v>46393.0</c:v>
                </c:pt>
                <c:pt idx="66">
                  <c:v>46394.0</c:v>
                </c:pt>
                <c:pt idx="67">
                  <c:v>46395.0</c:v>
                </c:pt>
                <c:pt idx="68">
                  <c:v>46396.0</c:v>
                </c:pt>
                <c:pt idx="69">
                  <c:v>46397.0</c:v>
                </c:pt>
                <c:pt idx="70">
                  <c:v>46398.0</c:v>
                </c:pt>
                <c:pt idx="71">
                  <c:v>46399.0</c:v>
                </c:pt>
                <c:pt idx="72">
                  <c:v>46400.0</c:v>
                </c:pt>
                <c:pt idx="73">
                  <c:v>46401.0</c:v>
                </c:pt>
                <c:pt idx="74">
                  <c:v>46402.0</c:v>
                </c:pt>
                <c:pt idx="75">
                  <c:v>46403.0</c:v>
                </c:pt>
                <c:pt idx="76">
                  <c:v>46404.0</c:v>
                </c:pt>
                <c:pt idx="77">
                  <c:v>46405.0</c:v>
                </c:pt>
                <c:pt idx="78">
                  <c:v>46406.0</c:v>
                </c:pt>
                <c:pt idx="79">
                  <c:v>46407.0</c:v>
                </c:pt>
                <c:pt idx="80">
                  <c:v>46408.0</c:v>
                </c:pt>
                <c:pt idx="81">
                  <c:v>46409.0</c:v>
                </c:pt>
                <c:pt idx="82">
                  <c:v>46410.0</c:v>
                </c:pt>
                <c:pt idx="83">
                  <c:v>46411.0</c:v>
                </c:pt>
                <c:pt idx="84">
                  <c:v>46412.0</c:v>
                </c:pt>
                <c:pt idx="85">
                  <c:v>46413.0</c:v>
                </c:pt>
                <c:pt idx="86">
                  <c:v>46414.0</c:v>
                </c:pt>
                <c:pt idx="87">
                  <c:v>46415.0</c:v>
                </c:pt>
                <c:pt idx="88">
                  <c:v>46416.0</c:v>
                </c:pt>
                <c:pt idx="89">
                  <c:v>46417.0</c:v>
                </c:pt>
              </c:numCache>
            </c:numRef>
          </c:cat>
          <c:val>
            <c:numRef>
              <c:f>'Workings'!$I$6:$I$95</c:f>
              <c:numCache>
                <c:formatCode>General</c:formatCode>
                <c:ptCount val="90"/>
                <c:pt idx="74">
                  <c:v>6480.0</c:v>
                </c:pt>
              </c:numCache>
            </c:numRef>
          </c:val>
        </c:ser>
        <c:ser>
          <c:idx val="5"/>
          <c:order val="5"/>
          <c:tx>
            <c:strRef>
              <c:f>'Workings'!$C$32</c:f>
              <c:strCache>
                <c:ptCount val="1"/>
                <c:pt idx="0">
                  <c:v>Floor $5,000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txPr>
              <a:bodyPr/>
              <a:lstStyle/>
              <a:p>
                <a:pPr>
                  <a:defRPr sz="1000" b="0" baseline="0">
                    <a:solidFill>
                      <a:srgbClr val="B0362A"/>
                    </a:solidFill>
                    <a:latin typeface="Cambria"/>
                  </a:defRPr>
                </a:pPr>
                <a:endParaRPr lang="en-US"/>
              </a:p>
            </c:txPr>
            <c:dLblPos val="b"/>
            <c:showSerName val="1"/>
          </c:dLbls>
          <c:cat>
            <c:numRef>
              <c:f>'Workings'!$E$6:$E$95</c:f>
              <c:numCache>
                <c:formatCode>General</c:formatCode>
                <c:ptCount val="90"/>
                <c:pt idx="0">
                  <c:v>46328.0</c:v>
                </c:pt>
                <c:pt idx="1">
                  <c:v>46329.0</c:v>
                </c:pt>
                <c:pt idx="2">
                  <c:v>46330.0</c:v>
                </c:pt>
                <c:pt idx="3">
                  <c:v>46331.0</c:v>
                </c:pt>
                <c:pt idx="4">
                  <c:v>46332.0</c:v>
                </c:pt>
                <c:pt idx="5">
                  <c:v>46333.0</c:v>
                </c:pt>
                <c:pt idx="6">
                  <c:v>46334.0</c:v>
                </c:pt>
                <c:pt idx="7">
                  <c:v>46335.0</c:v>
                </c:pt>
                <c:pt idx="8">
                  <c:v>46336.0</c:v>
                </c:pt>
                <c:pt idx="9">
                  <c:v>46337.0</c:v>
                </c:pt>
                <c:pt idx="10">
                  <c:v>46338.0</c:v>
                </c:pt>
                <c:pt idx="11">
                  <c:v>46339.0</c:v>
                </c:pt>
                <c:pt idx="12">
                  <c:v>46340.0</c:v>
                </c:pt>
                <c:pt idx="13">
                  <c:v>46341.0</c:v>
                </c:pt>
                <c:pt idx="14">
                  <c:v>46342.0</c:v>
                </c:pt>
                <c:pt idx="15">
                  <c:v>46343.0</c:v>
                </c:pt>
                <c:pt idx="16">
                  <c:v>46344.0</c:v>
                </c:pt>
                <c:pt idx="17">
                  <c:v>46345.0</c:v>
                </c:pt>
                <c:pt idx="18">
                  <c:v>46346.0</c:v>
                </c:pt>
                <c:pt idx="19">
                  <c:v>46347.0</c:v>
                </c:pt>
                <c:pt idx="20">
                  <c:v>46348.0</c:v>
                </c:pt>
                <c:pt idx="21">
                  <c:v>46349.0</c:v>
                </c:pt>
                <c:pt idx="22">
                  <c:v>46350.0</c:v>
                </c:pt>
                <c:pt idx="23">
                  <c:v>46351.0</c:v>
                </c:pt>
                <c:pt idx="24">
                  <c:v>46352.0</c:v>
                </c:pt>
                <c:pt idx="25">
                  <c:v>46353.0</c:v>
                </c:pt>
                <c:pt idx="26">
                  <c:v>46354.0</c:v>
                </c:pt>
                <c:pt idx="27">
                  <c:v>46355.0</c:v>
                </c:pt>
                <c:pt idx="28">
                  <c:v>46356.0</c:v>
                </c:pt>
                <c:pt idx="29">
                  <c:v>46357.0</c:v>
                </c:pt>
                <c:pt idx="30">
                  <c:v>46358.0</c:v>
                </c:pt>
                <c:pt idx="31">
                  <c:v>46359.0</c:v>
                </c:pt>
                <c:pt idx="32">
                  <c:v>46360.0</c:v>
                </c:pt>
                <c:pt idx="33">
                  <c:v>46361.0</c:v>
                </c:pt>
                <c:pt idx="34">
                  <c:v>46362.0</c:v>
                </c:pt>
                <c:pt idx="35">
                  <c:v>46363.0</c:v>
                </c:pt>
                <c:pt idx="36">
                  <c:v>46364.0</c:v>
                </c:pt>
                <c:pt idx="37">
                  <c:v>46365.0</c:v>
                </c:pt>
                <c:pt idx="38">
                  <c:v>46366.0</c:v>
                </c:pt>
                <c:pt idx="39">
                  <c:v>46367.0</c:v>
                </c:pt>
                <c:pt idx="40">
                  <c:v>46368.0</c:v>
                </c:pt>
                <c:pt idx="41">
                  <c:v>46369.0</c:v>
                </c:pt>
                <c:pt idx="42">
                  <c:v>46370.0</c:v>
                </c:pt>
                <c:pt idx="43">
                  <c:v>46371.0</c:v>
                </c:pt>
                <c:pt idx="44">
                  <c:v>46372.0</c:v>
                </c:pt>
                <c:pt idx="45">
                  <c:v>46373.0</c:v>
                </c:pt>
                <c:pt idx="46">
                  <c:v>46374.0</c:v>
                </c:pt>
                <c:pt idx="47">
                  <c:v>46375.0</c:v>
                </c:pt>
                <c:pt idx="48">
                  <c:v>46376.0</c:v>
                </c:pt>
                <c:pt idx="49">
                  <c:v>46377.0</c:v>
                </c:pt>
                <c:pt idx="50">
                  <c:v>46378.0</c:v>
                </c:pt>
                <c:pt idx="51">
                  <c:v>46379.0</c:v>
                </c:pt>
                <c:pt idx="52">
                  <c:v>46380.0</c:v>
                </c:pt>
                <c:pt idx="53">
                  <c:v>46381.0</c:v>
                </c:pt>
                <c:pt idx="54">
                  <c:v>46382.0</c:v>
                </c:pt>
                <c:pt idx="55">
                  <c:v>46383.0</c:v>
                </c:pt>
                <c:pt idx="56">
                  <c:v>46384.0</c:v>
                </c:pt>
                <c:pt idx="57">
                  <c:v>46385.0</c:v>
                </c:pt>
                <c:pt idx="58">
                  <c:v>46386.0</c:v>
                </c:pt>
                <c:pt idx="59">
                  <c:v>46387.0</c:v>
                </c:pt>
                <c:pt idx="60">
                  <c:v>46388.0</c:v>
                </c:pt>
                <c:pt idx="61">
                  <c:v>46389.0</c:v>
                </c:pt>
                <c:pt idx="62">
                  <c:v>46390.0</c:v>
                </c:pt>
                <c:pt idx="63">
                  <c:v>46391.0</c:v>
                </c:pt>
                <c:pt idx="64">
                  <c:v>46392.0</c:v>
                </c:pt>
                <c:pt idx="65">
                  <c:v>46393.0</c:v>
                </c:pt>
                <c:pt idx="66">
                  <c:v>46394.0</c:v>
                </c:pt>
                <c:pt idx="67">
                  <c:v>46395.0</c:v>
                </c:pt>
                <c:pt idx="68">
                  <c:v>46396.0</c:v>
                </c:pt>
                <c:pt idx="69">
                  <c:v>46397.0</c:v>
                </c:pt>
                <c:pt idx="70">
                  <c:v>46398.0</c:v>
                </c:pt>
                <c:pt idx="71">
                  <c:v>46399.0</c:v>
                </c:pt>
                <c:pt idx="72">
                  <c:v>46400.0</c:v>
                </c:pt>
                <c:pt idx="73">
                  <c:v>46401.0</c:v>
                </c:pt>
                <c:pt idx="74">
                  <c:v>46402.0</c:v>
                </c:pt>
                <c:pt idx="75">
                  <c:v>46403.0</c:v>
                </c:pt>
                <c:pt idx="76">
                  <c:v>46404.0</c:v>
                </c:pt>
                <c:pt idx="77">
                  <c:v>46405.0</c:v>
                </c:pt>
                <c:pt idx="78">
                  <c:v>46406.0</c:v>
                </c:pt>
                <c:pt idx="79">
                  <c:v>46407.0</c:v>
                </c:pt>
                <c:pt idx="80">
                  <c:v>46408.0</c:v>
                </c:pt>
                <c:pt idx="81">
                  <c:v>46409.0</c:v>
                </c:pt>
                <c:pt idx="82">
                  <c:v>46410.0</c:v>
                </c:pt>
                <c:pt idx="83">
                  <c:v>46411.0</c:v>
                </c:pt>
                <c:pt idx="84">
                  <c:v>46412.0</c:v>
                </c:pt>
                <c:pt idx="85">
                  <c:v>46413.0</c:v>
                </c:pt>
                <c:pt idx="86">
                  <c:v>46414.0</c:v>
                </c:pt>
                <c:pt idx="87">
                  <c:v>46415.0</c:v>
                </c:pt>
                <c:pt idx="88">
                  <c:v>46416.0</c:v>
                </c:pt>
                <c:pt idx="89">
                  <c:v>46417.0</c:v>
                </c:pt>
              </c:numCache>
            </c:numRef>
          </c:cat>
          <c:val>
            <c:numRef>
              <c:f>'Workings'!$L$6:$L$95</c:f>
              <c:numCache>
                <c:formatCode>General</c:formatCode>
                <c:ptCount val="90"/>
                <c:pt idx="8">
                  <c:v>5000.0</c:v>
                </c:pt>
              </c:numCache>
            </c:numRef>
          </c:val>
        </c:ser>
        <c:ser>
          <c:idx val="6"/>
          <c:order val="6"/>
          <c:tx>
            <c:strRef>
              <c:f>'Workings'!$C$33</c:f>
              <c:strCache>
                <c:ptCount val="1"/>
                <c:pt idx="0">
                  <c:v>Day 90 $12,480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txPr>
              <a:bodyPr/>
              <a:lstStyle/>
              <a:p>
                <a:pPr>
                  <a:defRPr sz="1000" b="0" baseline="0">
                    <a:solidFill>
                      <a:srgbClr val="17322B"/>
                    </a:solidFill>
                    <a:latin typeface="Cambria"/>
                  </a:defRPr>
                </a:pPr>
                <a:endParaRPr lang="en-US"/>
              </a:p>
            </c:txPr>
            <c:dLblPos val="l"/>
            <c:showSerName val="1"/>
          </c:dLbls>
          <c:cat>
            <c:numRef>
              <c:f>'Workings'!$E$6:$E$95</c:f>
              <c:numCache>
                <c:formatCode>General</c:formatCode>
                <c:ptCount val="90"/>
                <c:pt idx="0">
                  <c:v>46328.0</c:v>
                </c:pt>
                <c:pt idx="1">
                  <c:v>46329.0</c:v>
                </c:pt>
                <c:pt idx="2">
                  <c:v>46330.0</c:v>
                </c:pt>
                <c:pt idx="3">
                  <c:v>46331.0</c:v>
                </c:pt>
                <c:pt idx="4">
                  <c:v>46332.0</c:v>
                </c:pt>
                <c:pt idx="5">
                  <c:v>46333.0</c:v>
                </c:pt>
                <c:pt idx="6">
                  <c:v>46334.0</c:v>
                </c:pt>
                <c:pt idx="7">
                  <c:v>46335.0</c:v>
                </c:pt>
                <c:pt idx="8">
                  <c:v>46336.0</c:v>
                </c:pt>
                <c:pt idx="9">
                  <c:v>46337.0</c:v>
                </c:pt>
                <c:pt idx="10">
                  <c:v>46338.0</c:v>
                </c:pt>
                <c:pt idx="11">
                  <c:v>46339.0</c:v>
                </c:pt>
                <c:pt idx="12">
                  <c:v>46340.0</c:v>
                </c:pt>
                <c:pt idx="13">
                  <c:v>46341.0</c:v>
                </c:pt>
                <c:pt idx="14">
                  <c:v>46342.0</c:v>
                </c:pt>
                <c:pt idx="15">
                  <c:v>46343.0</c:v>
                </c:pt>
                <c:pt idx="16">
                  <c:v>46344.0</c:v>
                </c:pt>
                <c:pt idx="17">
                  <c:v>46345.0</c:v>
                </c:pt>
                <c:pt idx="18">
                  <c:v>46346.0</c:v>
                </c:pt>
                <c:pt idx="19">
                  <c:v>46347.0</c:v>
                </c:pt>
                <c:pt idx="20">
                  <c:v>46348.0</c:v>
                </c:pt>
                <c:pt idx="21">
                  <c:v>46349.0</c:v>
                </c:pt>
                <c:pt idx="22">
                  <c:v>46350.0</c:v>
                </c:pt>
                <c:pt idx="23">
                  <c:v>46351.0</c:v>
                </c:pt>
                <c:pt idx="24">
                  <c:v>46352.0</c:v>
                </c:pt>
                <c:pt idx="25">
                  <c:v>46353.0</c:v>
                </c:pt>
                <c:pt idx="26">
                  <c:v>46354.0</c:v>
                </c:pt>
                <c:pt idx="27">
                  <c:v>46355.0</c:v>
                </c:pt>
                <c:pt idx="28">
                  <c:v>46356.0</c:v>
                </c:pt>
                <c:pt idx="29">
                  <c:v>46357.0</c:v>
                </c:pt>
                <c:pt idx="30">
                  <c:v>46358.0</c:v>
                </c:pt>
                <c:pt idx="31">
                  <c:v>46359.0</c:v>
                </c:pt>
                <c:pt idx="32">
                  <c:v>46360.0</c:v>
                </c:pt>
                <c:pt idx="33">
                  <c:v>46361.0</c:v>
                </c:pt>
                <c:pt idx="34">
                  <c:v>46362.0</c:v>
                </c:pt>
                <c:pt idx="35">
                  <c:v>46363.0</c:v>
                </c:pt>
                <c:pt idx="36">
                  <c:v>46364.0</c:v>
                </c:pt>
                <c:pt idx="37">
                  <c:v>46365.0</c:v>
                </c:pt>
                <c:pt idx="38">
                  <c:v>46366.0</c:v>
                </c:pt>
                <c:pt idx="39">
                  <c:v>46367.0</c:v>
                </c:pt>
                <c:pt idx="40">
                  <c:v>46368.0</c:v>
                </c:pt>
                <c:pt idx="41">
                  <c:v>46369.0</c:v>
                </c:pt>
                <c:pt idx="42">
                  <c:v>46370.0</c:v>
                </c:pt>
                <c:pt idx="43">
                  <c:v>46371.0</c:v>
                </c:pt>
                <c:pt idx="44">
                  <c:v>46372.0</c:v>
                </c:pt>
                <c:pt idx="45">
                  <c:v>46373.0</c:v>
                </c:pt>
                <c:pt idx="46">
                  <c:v>46374.0</c:v>
                </c:pt>
                <c:pt idx="47">
                  <c:v>46375.0</c:v>
                </c:pt>
                <c:pt idx="48">
                  <c:v>46376.0</c:v>
                </c:pt>
                <c:pt idx="49">
                  <c:v>46377.0</c:v>
                </c:pt>
                <c:pt idx="50">
                  <c:v>46378.0</c:v>
                </c:pt>
                <c:pt idx="51">
                  <c:v>46379.0</c:v>
                </c:pt>
                <c:pt idx="52">
                  <c:v>46380.0</c:v>
                </c:pt>
                <c:pt idx="53">
                  <c:v>46381.0</c:v>
                </c:pt>
                <c:pt idx="54">
                  <c:v>46382.0</c:v>
                </c:pt>
                <c:pt idx="55">
                  <c:v>46383.0</c:v>
                </c:pt>
                <c:pt idx="56">
                  <c:v>46384.0</c:v>
                </c:pt>
                <c:pt idx="57">
                  <c:v>46385.0</c:v>
                </c:pt>
                <c:pt idx="58">
                  <c:v>46386.0</c:v>
                </c:pt>
                <c:pt idx="59">
                  <c:v>46387.0</c:v>
                </c:pt>
                <c:pt idx="60">
                  <c:v>46388.0</c:v>
                </c:pt>
                <c:pt idx="61">
                  <c:v>46389.0</c:v>
                </c:pt>
                <c:pt idx="62">
                  <c:v>46390.0</c:v>
                </c:pt>
                <c:pt idx="63">
                  <c:v>46391.0</c:v>
                </c:pt>
                <c:pt idx="64">
                  <c:v>46392.0</c:v>
                </c:pt>
                <c:pt idx="65">
                  <c:v>46393.0</c:v>
                </c:pt>
                <c:pt idx="66">
                  <c:v>46394.0</c:v>
                </c:pt>
                <c:pt idx="67">
                  <c:v>46395.0</c:v>
                </c:pt>
                <c:pt idx="68">
                  <c:v>46396.0</c:v>
                </c:pt>
                <c:pt idx="69">
                  <c:v>46397.0</c:v>
                </c:pt>
                <c:pt idx="70">
                  <c:v>46398.0</c:v>
                </c:pt>
                <c:pt idx="71">
                  <c:v>46399.0</c:v>
                </c:pt>
                <c:pt idx="72">
                  <c:v>46400.0</c:v>
                </c:pt>
                <c:pt idx="73">
                  <c:v>46401.0</c:v>
                </c:pt>
                <c:pt idx="74">
                  <c:v>46402.0</c:v>
                </c:pt>
                <c:pt idx="75">
                  <c:v>46403.0</c:v>
                </c:pt>
                <c:pt idx="76">
                  <c:v>46404.0</c:v>
                </c:pt>
                <c:pt idx="77">
                  <c:v>46405.0</c:v>
                </c:pt>
                <c:pt idx="78">
                  <c:v>46406.0</c:v>
                </c:pt>
                <c:pt idx="79">
                  <c:v>46407.0</c:v>
                </c:pt>
                <c:pt idx="80">
                  <c:v>46408.0</c:v>
                </c:pt>
                <c:pt idx="81">
                  <c:v>46409.0</c:v>
                </c:pt>
                <c:pt idx="82">
                  <c:v>46410.0</c:v>
                </c:pt>
                <c:pt idx="83">
                  <c:v>46411.0</c:v>
                </c:pt>
                <c:pt idx="84">
                  <c:v>46412.0</c:v>
                </c:pt>
                <c:pt idx="85">
                  <c:v>46413.0</c:v>
                </c:pt>
                <c:pt idx="86">
                  <c:v>46414.0</c:v>
                </c:pt>
                <c:pt idx="87">
                  <c:v>46415.0</c:v>
                </c:pt>
                <c:pt idx="88">
                  <c:v>46416.0</c:v>
                </c:pt>
                <c:pt idx="89">
                  <c:v>46417.0</c:v>
                </c:pt>
              </c:numCache>
            </c:numRef>
          </c:cat>
          <c:val>
            <c:numRef>
              <c:f>'Workings'!$K$6:$K$95</c:f>
              <c:numCache>
                <c:formatCode>General</c:formatCode>
                <c:ptCount val="90"/>
                <c:pt idx="89">
                  <c:v>12480.0</c:v>
                </c:pt>
              </c:numCache>
            </c:numRef>
          </c:val>
        </c:ser>
        <c:marker val="1"/>
        <c:axId val="50010001"/>
        <c:axId val="50010002"/>
      </c:lineChart>
      <c:dateAx>
        <c:axId val="50010001"/>
        <c:scaling>
          <c:orientation val="minMax"/>
        </c:scaling>
        <c:axPos val="b"/>
        <c:majorGridlines>
          <c:spPr>
            <a:ln w="6350">
              <a:solidFill>
                <a:srgbClr val="C5D5C4"/>
              </a:solidFill>
            </a:ln>
          </c:spPr>
        </c:majorGridlines>
        <c:numFmt formatCode="d mmm" sourceLinked="0"/>
        <c:majorTickMark val="none"/>
        <c:minorTickMark val="none"/>
        <c:tickLblPos val="low"/>
        <c:spPr>
          <a:ln w="9525">
            <a:solidFill>
              <a:srgbClr val="7E9E8A"/>
            </a:solidFill>
          </a:ln>
        </c:spPr>
        <c:txPr>
          <a:bodyPr/>
          <a:lstStyle/>
          <a:p>
            <a:pPr>
              <a:defRPr sz="900" baseline="0">
                <a:solidFill>
                  <a:srgbClr val="747B72"/>
                </a:solidFill>
                <a:latin typeface="Cambria"/>
              </a:defRPr>
            </a:pPr>
            <a:endParaRPr lang="en-US"/>
          </a:p>
        </c:txPr>
        <c:crossAx val="50010002"/>
        <c:crosses val="autoZero"/>
        <c:auto val="1"/>
        <c:lblOffset val="100"/>
        <c:majorUnit val="14"/>
        <c:majorTimeUnit val="days"/>
      </c:dateAx>
      <c:valAx>
        <c:axId val="50010002"/>
        <c:scaling>
          <c:orientation val="minMax"/>
        </c:scaling>
        <c:axPos val="l"/>
        <c:majorGridlines>
          <c:spPr>
            <a:ln w="6350">
              <a:solidFill>
                <a:srgbClr val="DCE6DB"/>
              </a:solidFill>
            </a:ln>
          </c:spPr>
        </c:majorGridlines>
        <c:numFmt formatCode="&quot;$&quot;#,##0;[Red]-&quot;$&quot;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747B72"/>
                </a:solidFill>
                <a:latin typeface="Cambria"/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solidFill>
          <a:srgbClr val="EEF3EA"/>
        </a:solidFill>
      </c:spPr>
    </c:plotArea>
    <c:plotVisOnly val="1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EEF3EA"/>
    </a:solidFill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6</xdr:row>
      <xdr:rowOff>19050</xdr:rowOff>
    </xdr:from>
    <xdr:to>
      <xdr:col>16384</xdr:col>
      <xdr:colOff>9525</xdr:colOff>
      <xdr:row>21</xdr:row>
      <xdr:rowOff>123825</xdr:rowOff>
    </xdr:to>
    <xdr:graphicFrame macro="">
      <xdr:nvGraphicFramePr>
        <xdr:cNvPr id="2" name="Chart 1" descr="Balance over the next 90 days against the floor, with the lowest point marked.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7322B"/>
    <pageSetUpPr fitToPage="1"/>
  </sheetPr>
  <dimension ref="A1:XFD130"/>
  <sheetViews>
    <sheetView showGridLines="0" tabSelected="1" workbookViewId="0"/>
  </sheetViews>
  <sheetFormatPr defaultRowHeight="15"/>
  <cols>
    <col min="1" max="1" width="3.28515625" style="1" customWidth="1"/>
    <col min="2" max="2" width="25.7109375" style="1" customWidth="1"/>
    <col min="3" max="3" width="15.7109375" style="1" customWidth="1"/>
    <col min="4" max="4" width="3.28515625" style="1" customWidth="1"/>
    <col min="5" max="12" width="12.28515625" style="1" customWidth="1"/>
    <col min="13" max="13" width="3.28515625" style="1" customWidth="1"/>
    <col min="14" max="16384" width="0" style="1" hidden="1" customWidth="1"/>
  </cols>
  <sheetData>
    <row r="1" spans="2:12" s="1" customFormat="1" ht="9.75" customHeight="1"/>
    <row r="2" spans="2:12" s="1" customFormat="1" ht="20.25" customHeight="1">
      <c r="B2" s="2" t="str">
        <f>'Your numbers'!$C$6&amp;""</f>
        <v>Marrow Lane Picture Framing (fictional)</v>
      </c>
      <c r="C2" s="2"/>
      <c r="D2" s="2"/>
      <c r="E2" s="2"/>
      <c r="F2" s="3" t="s">
        <v>1</v>
      </c>
      <c r="G2" s="3"/>
      <c r="H2" s="3"/>
      <c r="I2" s="3"/>
      <c r="J2" s="3"/>
      <c r="K2" s="3"/>
      <c r="L2" s="4" t="str">
        <f>TEXT(cr_start,"d mmm")&amp;" – "&amp;TEXT(cr_last,"d mmm")</f>
        <v>2 Nov – 30 Jan</v>
      </c>
    </row>
    <row r="3" spans="2:12" s="1" customFormat="1" ht="5.25" customHeight="1"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2:12" s="1" customFormat="1" ht="96" customHeight="1">
      <c r="B4" s="6" t="str">
        <f>cr_answer</f>
        <v>Yes: you stay above your $5,000 floor for all 90 days, and the tightest day is Fri 15 Jan, with $6,480.</v>
      </c>
      <c r="C4" s="6"/>
      <c r="D4" s="6"/>
      <c r="E4" s="6"/>
      <c r="F4" s="6"/>
      <c r="G4" s="6"/>
      <c r="H4" s="6"/>
      <c r="I4" s="6"/>
      <c r="J4" s="6"/>
      <c r="K4" s="6"/>
      <c r="L4" s="6"/>
    </row>
    <row r="5" spans="2:12" s="1" customFormat="1" ht="42" customHeight="1">
      <c r="B5" s="7" t="str">
        <f>cr_if_late</f>
        <v>If your biggest payment, Tidewater Hotel invoice ($9,800), comes two weeks late, you drop below the floor on Mon 30 Nov: the tightest day becomes Tue 1 Dec, with $660.</v>
      </c>
      <c r="C5" s="7"/>
      <c r="D5" s="7"/>
      <c r="E5" s="7"/>
      <c r="F5" s="7"/>
      <c r="G5" s="7"/>
      <c r="H5" s="7"/>
      <c r="I5" s="7"/>
      <c r="J5" s="7"/>
      <c r="K5" s="7"/>
      <c r="L5" s="7"/>
    </row>
    <row r="6" spans="2:12" s="1" customFormat="1" ht="8.25" customHeight="1"/>
    <row r="7" spans="2:12" s="1" customFormat="1" ht="20.25" customHeight="1">
      <c r="B7" s="8" t="s">
        <v>89</v>
      </c>
      <c r="C7" s="9"/>
    </row>
    <row r="8" spans="2:12" s="1" customFormat="1" ht="20.25" customHeight="1">
      <c r="B8" s="10" t="s">
        <v>90</v>
      </c>
      <c r="C8" s="11">
        <f>cr_open</f>
        <v>11400.0</v>
      </c>
    </row>
    <row r="9" spans="2:12" s="1" customFormat="1" ht="20.25" customHeight="1">
      <c r="B9" s="10" t="s">
        <v>91</v>
      </c>
      <c r="C9" s="11">
        <f>cr_floor+0</f>
        <v>5000.0</v>
      </c>
    </row>
    <row r="10" spans="2:12" s="1" customFormat="1" ht="20.25" customHeight="1">
      <c r="B10" s="12" t="s">
        <v>92</v>
      </c>
      <c r="C10" s="13">
        <f>IF(cr_no_answer=1,"",cr_low_date)</f>
        <v>46402.0</v>
      </c>
    </row>
    <row r="11" spans="2:12" s="1" customFormat="1" ht="20.25" customHeight="1">
      <c r="B11" s="12" t="s">
        <v>93</v>
      </c>
      <c r="C11" s="14">
        <f>IF(cr_no_answer=1,"",cr_low)</f>
        <v>6480.0</v>
      </c>
    </row>
    <row r="12" spans="2:12" s="1" customFormat="1" ht="20.25" customHeight="1">
      <c r="B12" s="10" t="s">
        <v>94</v>
      </c>
      <c r="C12" s="11">
        <f>IF(cr_no_answer=1,"",cr_end)</f>
        <v>12480.0</v>
      </c>
    </row>
    <row r="13" spans="2:12" s="1" customFormat="1" ht="20.25" customHeight="1">
      <c r="B13" s="10" t="s">
        <v>95</v>
      </c>
      <c r="C13" s="11">
        <f>cr_tot_in</f>
        <v>51300.0</v>
      </c>
    </row>
    <row r="14" spans="2:12" s="1" customFormat="1" ht="20.25" customHeight="1">
      <c r="B14" s="10" t="s">
        <v>96</v>
      </c>
      <c r="C14" s="11">
        <f>cr_tot_out</f>
        <v>50220.0</v>
      </c>
    </row>
    <row r="15" spans="2:12" s="1" customFormat="1" ht="20.25" customHeight="1"/>
    <row r="16" spans="2:12" s="1" customFormat="1" ht="20.25" customHeight="1">
      <c r="B16" s="15" t="s">
        <v>97</v>
      </c>
      <c r="C16" s="9"/>
    </row>
    <row r="17" spans="2:12" s="1" customFormat="1" ht="20.25" customHeight="1">
      <c r="B17" s="16" t="s">
        <v>98</v>
      </c>
      <c r="C17" s="17">
        <f>IF(cr_no_answer=1,"",cr_big_amt)</f>
        <v>9800.0</v>
      </c>
    </row>
    <row r="18" spans="2:12" s="1" customFormat="1" ht="20.25" customHeight="1">
      <c r="B18" s="16" t="s">
        <v>99</v>
      </c>
      <c r="C18" s="18">
        <f>IF(cr_no_answer=1,"",cr_big_date)</f>
        <v>46346.0</v>
      </c>
    </row>
    <row r="19" spans="2:12" s="1" customFormat="1" ht="20.25" customHeight="1">
      <c r="B19" s="16" t="s">
        <v>100</v>
      </c>
      <c r="C19" s="18">
        <f>IF(cr_no_answer=1,"",cr_big_late)</f>
        <v>46360.0</v>
      </c>
    </row>
    <row r="20" spans="2:12" s="1" customFormat="1" ht="20.25" customHeight="1">
      <c r="B20" s="16" t="s">
        <v>101</v>
      </c>
      <c r="C20" s="18">
        <f>IF(cr_no_answer=1,"",cr_late_date)</f>
        <v>46357.0</v>
      </c>
    </row>
    <row r="21" spans="2:12" s="1" customFormat="1" ht="20.25" customHeight="1">
      <c r="B21" s="16" t="s">
        <v>102</v>
      </c>
      <c r="C21" s="17">
        <f>IF(cr_no_answer=1,"",cr_late_low)</f>
        <v>660.0</v>
      </c>
    </row>
    <row r="22" spans="2:12" s="1" customFormat="1" ht="20.25" customHeight="1"/>
    <row r="23" spans="2:12" s="1" customFormat="1" ht="20.25" customHeight="1"/>
    <row r="24" spans="2:12" s="1" customFormat="1" ht="20.25" customHeight="1"/>
    <row r="25" spans="2:12" s="1" customFormat="1">
      <c r="B25" s="8" t="s">
        <v>103</v>
      </c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2:12" s="1" customFormat="1">
      <c r="B26" s="19" t="str">
        <f>cr_gap_note</f>
        <v/>
      </c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spans="2:12" s="1" customFormat="1">
      <c r="B27" s="20" t="str">
        <f>IF('Your numbers'!$B$74="","",'Your numbers'!$B$74)</f>
        <v>Shop takings of $2,600 a week is the owner's estimate; December may run higher and January lower.</v>
      </c>
      <c r="C27" s="20"/>
      <c r="D27" s="20"/>
      <c r="E27" s="20"/>
      <c r="F27" s="20"/>
      <c r="G27" s="20"/>
      <c r="H27" s="20"/>
      <c r="I27" s="20"/>
      <c r="J27" s="20"/>
      <c r="K27" s="20"/>
      <c r="L27" s="20"/>
    </row>
    <row r="28" spans="2:12" s="1" customFormat="1">
      <c r="B28" s="20" t="str">
        <f>IF('Your numbers'!$B$75="","",'Your numbers'!$B$75)</f>
        <v>No loan repayments or owner's drawings were listed. Add them if there are any.</v>
      </c>
      <c r="C28" s="20"/>
      <c r="D28" s="20"/>
      <c r="E28" s="20"/>
      <c r="F28" s="20"/>
      <c r="G28" s="20"/>
      <c r="H28" s="20"/>
      <c r="I28" s="20"/>
      <c r="J28" s="20"/>
      <c r="K28" s="20"/>
      <c r="L28" s="20"/>
    </row>
    <row r="29" spans="2:12" s="1" customFormat="1">
      <c r="B29" s="20" t="str">
        <f>IF('Your numbers'!$B$76="","",'Your numbers'!$B$76)</f>
        <v/>
      </c>
      <c r="C29" s="20"/>
      <c r="D29" s="20"/>
      <c r="E29" s="20"/>
      <c r="F29" s="20"/>
      <c r="G29" s="20"/>
      <c r="H29" s="20"/>
      <c r="I29" s="20"/>
      <c r="J29" s="20"/>
      <c r="K29" s="20"/>
      <c r="L29" s="20"/>
    </row>
    <row r="30" spans="2:12" s="1" customFormat="1">
      <c r="B30" s="20" t="str">
        <f>IF('Your numbers'!$B$77="","",'Your numbers'!$B$77)</f>
        <v/>
      </c>
      <c r="C30" s="20"/>
      <c r="D30" s="20"/>
      <c r="E30" s="20"/>
      <c r="F30" s="20"/>
      <c r="G30" s="20"/>
      <c r="H30" s="20"/>
      <c r="I30" s="20"/>
      <c r="J30" s="20"/>
      <c r="K30" s="20"/>
      <c r="L30" s="20"/>
    </row>
    <row r="31" spans="2:12" s="1" customFormat="1">
      <c r="B31" s="20" t="str">
        <f>IF('Your numbers'!$B$78="","",'Your numbers'!$B$78)</f>
        <v/>
      </c>
      <c r="C31" s="20"/>
      <c r="D31" s="20"/>
      <c r="E31" s="20"/>
      <c r="F31" s="20"/>
      <c r="G31" s="20"/>
      <c r="H31" s="20"/>
      <c r="I31" s="20"/>
      <c r="J31" s="20"/>
      <c r="K31" s="20"/>
      <c r="L31" s="20"/>
    </row>
    <row r="32" spans="2:12" s="1" customFormat="1">
      <c r="B32" s="20" t="str">
        <f>IF('Your numbers'!$B$79="","",'Your numbers'!$B$79)</f>
        <v/>
      </c>
      <c r="C32" s="20"/>
      <c r="D32" s="20"/>
      <c r="E32" s="20"/>
      <c r="F32" s="20"/>
      <c r="G32" s="20"/>
      <c r="H32" s="20"/>
      <c r="I32" s="20"/>
      <c r="J32" s="20"/>
      <c r="K32" s="20"/>
      <c r="L32" s="20"/>
    </row>
    <row r="33" spans="2:12" s="1" customFormat="1">
      <c r="B33" s="20" t="str">
        <f>IF('Your numbers'!$B$80="","",'Your numbers'!$B$80)</f>
        <v/>
      </c>
      <c r="C33" s="20"/>
      <c r="D33" s="20"/>
      <c r="E33" s="20"/>
      <c r="F33" s="20"/>
      <c r="G33" s="20"/>
      <c r="H33" s="20"/>
      <c r="I33" s="20"/>
      <c r="J33" s="20"/>
      <c r="K33" s="20"/>
      <c r="L33" s="20"/>
    </row>
    <row r="34" spans="2:12" s="1" customFormat="1">
      <c r="B34" s="20" t="str">
        <f>IF('Your numbers'!$B$81="","",'Your numbers'!$B$81)</f>
        <v/>
      </c>
      <c r="C34" s="20"/>
      <c r="D34" s="20"/>
      <c r="E34" s="20"/>
      <c r="F34" s="20"/>
      <c r="G34" s="20"/>
      <c r="H34" s="20"/>
      <c r="I34" s="20"/>
      <c r="J34" s="20"/>
      <c r="K34" s="20"/>
      <c r="L34" s="20"/>
    </row>
    <row r="35" spans="2:12" s="1" customFormat="1">
      <c r="B35" s="20" t="str">
        <f>IF('Your numbers'!$B$82="","",'Your numbers'!$B$82)</f>
        <v/>
      </c>
      <c r="C35" s="20"/>
      <c r="D35" s="20"/>
      <c r="E35" s="20"/>
      <c r="F35" s="20"/>
      <c r="G35" s="20"/>
      <c r="H35" s="20"/>
      <c r="I35" s="20"/>
      <c r="J35" s="20"/>
      <c r="K35" s="20"/>
      <c r="L35" s="20"/>
    </row>
    <row r="36" spans="2:12" s="1" customFormat="1">
      <c r="B36" s="20" t="str">
        <f>IF('Your numbers'!$B$83="","",'Your numbers'!$B$83)</f>
        <v/>
      </c>
      <c r="C36" s="20"/>
      <c r="D36" s="20"/>
      <c r="E36" s="20"/>
      <c r="F36" s="20"/>
      <c r="G36" s="20"/>
      <c r="H36" s="20"/>
      <c r="I36" s="20"/>
      <c r="J36" s="20"/>
      <c r="K36" s="20"/>
      <c r="L36" s="20"/>
    </row>
    <row r="37" spans="2:12" s="1" customFormat="1">
      <c r="B37" s="20" t="str">
        <f>IF('Your numbers'!$B$84="","",'Your numbers'!$B$84)</f>
        <v/>
      </c>
      <c r="C37" s="20"/>
      <c r="D37" s="20"/>
      <c r="E37" s="20"/>
      <c r="F37" s="20"/>
      <c r="G37" s="20"/>
      <c r="H37" s="20"/>
      <c r="I37" s="20"/>
      <c r="J37" s="20"/>
      <c r="K37" s="20"/>
      <c r="L37" s="20"/>
    </row>
    <row r="38" spans="2:12" s="1" customFormat="1">
      <c r="B38" s="20" t="str">
        <f>IF('Your numbers'!$B$85="","",'Your numbers'!$B$85)</f>
        <v/>
      </c>
      <c r="C38" s="20"/>
      <c r="D38" s="20"/>
      <c r="E38" s="20"/>
      <c r="F38" s="20"/>
      <c r="G38" s="20"/>
      <c r="H38" s="20"/>
      <c r="I38" s="20"/>
      <c r="J38" s="20"/>
      <c r="K38" s="20"/>
      <c r="L38" s="20"/>
    </row>
    <row r="39" spans="2:12" s="1" customFormat="1">
      <c r="B39" s="21" t="s">
        <v>104</v>
      </c>
      <c r="C39" s="21"/>
      <c r="D39" s="21"/>
      <c r="E39" s="21"/>
      <c r="F39" s="21"/>
      <c r="G39" s="21"/>
      <c r="H39" s="21"/>
      <c r="I39" s="21"/>
      <c r="J39" s="21"/>
      <c r="K39" s="21"/>
      <c r="L39" s="21"/>
    </row>
    <row r="40" spans="2:12" s="1" customFormat="1">
      <c r="B40" s="21" t="s">
        <v>105</v>
      </c>
      <c r="C40" s="21"/>
      <c r="D40" s="21"/>
      <c r="E40" s="21"/>
      <c r="F40" s="21"/>
      <c r="G40" s="21"/>
      <c r="H40" s="21"/>
      <c r="I40" s="21"/>
      <c r="J40" s="21"/>
      <c r="K40" s="21"/>
      <c r="L40" s="21"/>
    </row>
    <row r="41" spans="2:12" s="1" customFormat="1">
      <c r="B41" s="21" t="s">
        <v>106</v>
      </c>
      <c r="C41" s="21"/>
      <c r="D41" s="21"/>
      <c r="E41" s="21"/>
      <c r="F41" s="21"/>
      <c r="G41" s="21"/>
      <c r="H41" s="21"/>
      <c r="I41" s="21"/>
      <c r="J41" s="21"/>
      <c r="K41" s="21"/>
      <c r="L41" s="21"/>
    </row>
    <row r="42" spans="2:12" s="1" customFormat="1"/>
    <row r="43" spans="2:12" s="1" customFormat="1"/>
    <row r="44" spans="2:12" s="1" customFormat="1"/>
    <row r="45" spans="2:12" s="1" customFormat="1"/>
    <row r="46" spans="2:12" s="1" customFormat="1"/>
    <row r="47" spans="2:12" s="1" customFormat="1"/>
    <row r="48" spans="2:12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</sheetData>
  <sheetProtection sheet="1" objects="1" scenarios="1" formatColumns="0" formatRows="0"/>
  <mergeCells count="20">
    <mergeCell ref="B2:E2"/>
    <mergeCell ref="F2:K2"/>
    <mergeCell ref="B4:L4"/>
    <mergeCell ref="B5:L5"/>
    <mergeCell ref="B26:L26"/>
    <mergeCell ref="B27:L27"/>
    <mergeCell ref="B28:L28"/>
    <mergeCell ref="B29:L29"/>
    <mergeCell ref="B30:L30"/>
    <mergeCell ref="B31:L31"/>
    <mergeCell ref="B32:L32"/>
    <mergeCell ref="B33:L33"/>
    <mergeCell ref="B34:L34"/>
    <mergeCell ref="B35:L35"/>
    <mergeCell ref="B36:L36"/>
    <mergeCell ref="B37:L37"/>
    <mergeCell ref="B38:L38"/>
    <mergeCell ref="B39:L39"/>
    <mergeCell ref="B40:L40"/>
    <mergeCell ref="B41:L41"/>
  </mergeCells>
  <pageMargins left="0.4" right="0.4" top="0.45" bottom="0.45" header="0.3" footer="0.3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1F4E8C"/>
    <pageSetUpPr fitToPage="1"/>
  </sheetPr>
  <dimension ref="A1:XFD130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3.28515625" style="1" customWidth="1"/>
    <col min="2" max="2" width="38.7109375" style="1" customWidth="1"/>
    <col min="3" max="3" width="17.7109375" style="1" customWidth="1"/>
    <col min="4" max="4" width="13.7109375" style="1" customWidth="1"/>
    <col min="5" max="5" width="14.7109375" style="1" customWidth="1"/>
    <col min="6" max="6" width="15.7109375" style="1" customWidth="1"/>
    <col min="7" max="7" width="28.7109375" style="1" customWidth="1"/>
    <col min="8" max="8" width="3.28515625" style="1" customWidth="1"/>
    <col min="9" max="16384" width="0" style="1" hidden="1" customWidth="1"/>
  </cols>
  <sheetData>
    <row r="1" spans="2:7" s="1" customFormat="1"/>
    <row r="2" spans="2:7" s="1" customFormat="1" ht="30" customHeight="1">
      <c r="B2" s="22" t="s">
        <v>0</v>
      </c>
    </row>
    <row r="3" spans="2:7" s="1" customFormat="1">
      <c r="B3" s="23" t="s">
        <v>1</v>
      </c>
    </row>
    <row r="4" spans="2:7" s="1" customFormat="1">
      <c r="B4" s="24" t="s">
        <v>2</v>
      </c>
    </row>
    <row r="5" spans="2:7" s="1" customFormat="1"/>
    <row r="6" spans="2:7" s="1" customFormat="1">
      <c r="B6" s="10" t="s">
        <v>3</v>
      </c>
      <c r="C6" s="25" t="s">
        <v>4</v>
      </c>
      <c r="D6" s="25"/>
      <c r="E6" s="25"/>
    </row>
    <row r="7" spans="2:7" s="1" customFormat="1">
      <c r="B7" s="10" t="s">
        <v>5</v>
      </c>
      <c r="C7" s="26">
        <v>46328</v>
      </c>
    </row>
    <row r="8" spans="2:7" s="1" customFormat="1">
      <c r="B8" s="10" t="s">
        <v>6</v>
      </c>
      <c r="C8" s="27">
        <v>11400</v>
      </c>
    </row>
    <row r="9" spans="2:7" s="1" customFormat="1">
      <c r="B9" s="10" t="s">
        <v>7</v>
      </c>
      <c r="C9" s="27">
        <v>5000</v>
      </c>
    </row>
    <row r="10" spans="2:7" s="1" customFormat="1">
      <c r="B10" s="10" t="s">
        <v>8</v>
      </c>
      <c r="C10" s="28">
        <v>14</v>
      </c>
    </row>
    <row r="11" spans="2:7" s="1" customFormat="1"/>
    <row r="12" spans="2:7" s="1" customFormat="1" ht="26.25" customHeight="1">
      <c r="B12" s="29" t="s">
        <v>9</v>
      </c>
    </row>
    <row r="13" spans="2:7" s="1" customFormat="1" ht="32.25" customHeight="1">
      <c r="B13" s="30" t="s">
        <v>10</v>
      </c>
      <c r="C13" s="31" t="s">
        <v>11</v>
      </c>
      <c r="D13" s="31" t="s">
        <v>12</v>
      </c>
      <c r="E13" s="30" t="s">
        <v>13</v>
      </c>
      <c r="F13" s="31" t="s">
        <v>14</v>
      </c>
      <c r="G13" s="30" t="s">
        <v>15</v>
      </c>
    </row>
    <row r="14" spans="2:7" s="1" customFormat="1">
      <c r="B14" s="25" t="s">
        <v>16</v>
      </c>
      <c r="C14" s="26">
        <v>46332</v>
      </c>
      <c r="D14" s="27">
        <v>2600</v>
      </c>
      <c r="E14" s="25" t="s">
        <v>17</v>
      </c>
      <c r="F14" s="32">
        <f>IF(OR(D14="",C14=""),"",IF(E14="Every day",MAX(C14,cr_start),IF(E14="Weekly",C14+MAX(0,ROUNDUP((cr_start-C14)/7,0))*7,IF(E14="Every 2 weeks",C14+MAX(0,ROUNDUP((cr_start-C14)/14,0))*14,IF(E14="Monthly",IF(EDATE(C14,MAX(0,(YEAR(cr_start)-YEAR(C14))*12+MONTH(cr_start)-MONTH(C14)))&gt;=cr_start,EDATE(C14,MAX(0,(YEAR(cr_start)-YEAR(C14))*12+MONTH(cr_start)-MONTH(C14))),EDATE(C14,MAX(0,(YEAR(cr_start)-YEAR(C14))*12+MONTH(cr_start)-MONTH(C14))+1)),IF(E14="Quarterly",IF(EDATE(C14,MAX(0,ROUNDUP(((YEAR(cr_start)-YEAR(C14))*12+MONTH(cr_start)-MONTH(C14))/3,0))*3)&gt;=cr_start,EDATE(C14,MAX(0,ROUNDUP(((YEAR(cr_start)-YEAR(C14))*12+MONTH(cr_start)-MONTH(C14))/3,0))*3),EDATE(C14,MAX(0,ROUNDUP(((YEAR(cr_start)-YEAR(C14))*12+MONTH(cr_start)-MONTH(C14))/3,0))*3+3)),C14))))))</f>
        <v>46332.0</v>
      </c>
      <c r="G14" s="33" t="str">
        <f>IF(AND(B14="",C14="",D14=""),"",IF(D14="","No amount yet: not counted",IF(C14="","No date yet: not counted",IF(F14&lt;cr_start,"Date has passed: not counted",IF(F14&gt;cr_last,"After the 90 days","Counted")))))</f>
        <v>Counted</v>
      </c>
    </row>
    <row r="15" spans="2:7" s="1" customFormat="1">
      <c r="B15" s="25" t="s">
        <v>18</v>
      </c>
      <c r="C15" s="26">
        <v>46346</v>
      </c>
      <c r="D15" s="27">
        <v>9800</v>
      </c>
      <c r="E15" s="25" t="s">
        <v>19</v>
      </c>
      <c r="F15" s="32">
        <f>IF(OR(D15="",C15=""),"",IF(E15="Every day",MAX(C15,cr_start),IF(E15="Weekly",C15+MAX(0,ROUNDUP((cr_start-C15)/7,0))*7,IF(E15="Every 2 weeks",C15+MAX(0,ROUNDUP((cr_start-C15)/14,0))*14,IF(E15="Monthly",IF(EDATE(C15,MAX(0,(YEAR(cr_start)-YEAR(C15))*12+MONTH(cr_start)-MONTH(C15)))&gt;=cr_start,EDATE(C15,MAX(0,(YEAR(cr_start)-YEAR(C15))*12+MONTH(cr_start)-MONTH(C15))),EDATE(C15,MAX(0,(YEAR(cr_start)-YEAR(C15))*12+MONTH(cr_start)-MONTH(C15))+1)),IF(E15="Quarterly",IF(EDATE(C15,MAX(0,ROUNDUP(((YEAR(cr_start)-YEAR(C15))*12+MONTH(cr_start)-MONTH(C15))/3,0))*3)&gt;=cr_start,EDATE(C15,MAX(0,ROUNDUP(((YEAR(cr_start)-YEAR(C15))*12+MONTH(cr_start)-MONTH(C15))/3,0))*3),EDATE(C15,MAX(0,ROUNDUP(((YEAR(cr_start)-YEAR(C15))*12+MONTH(cr_start)-MONTH(C15))/3,0))*3+3)),C15))))))</f>
        <v>46346.0</v>
      </c>
      <c r="G15" s="33" t="str">
        <f>IF(AND(B15="",C15="",D15=""),"",IF(D15="","No amount yet: not counted",IF(C15="","No date yet: not counted",IF(F15&lt;cr_start,"Date has passed: not counted",IF(F15&gt;cr_last,"After the 90 days","Counted")))))</f>
        <v>Counted</v>
      </c>
    </row>
    <row r="16" spans="2:7" s="1" customFormat="1">
      <c r="B16" s="25" t="s">
        <v>20</v>
      </c>
      <c r="C16" s="26">
        <v>46370</v>
      </c>
      <c r="D16" s="27">
        <v>3500</v>
      </c>
      <c r="E16" s="25" t="s">
        <v>19</v>
      </c>
      <c r="F16" s="32">
        <f>IF(OR(D16="",C16=""),"",IF(E16="Every day",MAX(C16,cr_start),IF(E16="Weekly",C16+MAX(0,ROUNDUP((cr_start-C16)/7,0))*7,IF(E16="Every 2 weeks",C16+MAX(0,ROUNDUP((cr_start-C16)/14,0))*14,IF(E16="Monthly",IF(EDATE(C16,MAX(0,(YEAR(cr_start)-YEAR(C16))*12+MONTH(cr_start)-MONTH(C16)))&gt;=cr_start,EDATE(C16,MAX(0,(YEAR(cr_start)-YEAR(C16))*12+MONTH(cr_start)-MONTH(C16))),EDATE(C16,MAX(0,(YEAR(cr_start)-YEAR(C16))*12+MONTH(cr_start)-MONTH(C16))+1)),IF(E16="Quarterly",IF(EDATE(C16,MAX(0,ROUNDUP(((YEAR(cr_start)-YEAR(C16))*12+MONTH(cr_start)-MONTH(C16))/3,0))*3)&gt;=cr_start,EDATE(C16,MAX(0,ROUNDUP(((YEAR(cr_start)-YEAR(C16))*12+MONTH(cr_start)-MONTH(C16))/3,0))*3),EDATE(C16,MAX(0,ROUNDUP(((YEAR(cr_start)-YEAR(C16))*12+MONTH(cr_start)-MONTH(C16))/3,0))*3+3)),C16))))))</f>
        <v>46370.0</v>
      </c>
      <c r="G16" s="33" t="str">
        <f>IF(AND(B16="",C16="",D16=""),"",IF(D16="","No amount yet: not counted",IF(C16="","No date yet: not counted",IF(F16&lt;cr_start,"Date has passed: not counted",IF(F16&gt;cr_last,"After the 90 days","Counted")))))</f>
        <v>Counted</v>
      </c>
    </row>
    <row r="17" spans="2:7" s="1" customFormat="1">
      <c r="B17" s="25" t="s">
        <v>21</v>
      </c>
      <c r="C17" s="26">
        <v>46405</v>
      </c>
      <c r="D17" s="27">
        <v>4200</v>
      </c>
      <c r="E17" s="25" t="s">
        <v>19</v>
      </c>
      <c r="F17" s="32">
        <f>IF(OR(D17="",C17=""),"",IF(E17="Every day",MAX(C17,cr_start),IF(E17="Weekly",C17+MAX(0,ROUNDUP((cr_start-C17)/7,0))*7,IF(E17="Every 2 weeks",C17+MAX(0,ROUNDUP((cr_start-C17)/14,0))*14,IF(E17="Monthly",IF(EDATE(C17,MAX(0,(YEAR(cr_start)-YEAR(C17))*12+MONTH(cr_start)-MONTH(C17)))&gt;=cr_start,EDATE(C17,MAX(0,(YEAR(cr_start)-YEAR(C17))*12+MONTH(cr_start)-MONTH(C17))),EDATE(C17,MAX(0,(YEAR(cr_start)-YEAR(C17))*12+MONTH(cr_start)-MONTH(C17))+1)),IF(E17="Quarterly",IF(EDATE(C17,MAX(0,ROUNDUP(((YEAR(cr_start)-YEAR(C17))*12+MONTH(cr_start)-MONTH(C17))/3,0))*3)&gt;=cr_start,EDATE(C17,MAX(0,ROUNDUP(((YEAR(cr_start)-YEAR(C17))*12+MONTH(cr_start)-MONTH(C17))/3,0))*3),EDATE(C17,MAX(0,ROUNDUP(((YEAR(cr_start)-YEAR(C17))*12+MONTH(cr_start)-MONTH(C17))/3,0))*3+3)),C17))))))</f>
        <v>46405.0</v>
      </c>
      <c r="G17" s="33" t="str">
        <f>IF(AND(B17="",C17="",D17=""),"",IF(D17="","No amount yet: not counted",IF(C17="","No date yet: not counted",IF(F17&lt;cr_start,"Date has passed: not counted",IF(F17&gt;cr_last,"After the 90 days","Counted")))))</f>
        <v>Counted</v>
      </c>
    </row>
    <row r="18" spans="2:7" s="1" customFormat="1">
      <c r="B18" s="25"/>
      <c r="C18" s="26"/>
      <c r="D18" s="27"/>
      <c r="E18" s="25"/>
      <c r="F18" s="32" t="str">
        <f>IF(OR(D18="",C18=""),"",IF(E18="Every day",MAX(C18,cr_start),IF(E18="Weekly",C18+MAX(0,ROUNDUP((cr_start-C18)/7,0))*7,IF(E18="Every 2 weeks",C18+MAX(0,ROUNDUP((cr_start-C18)/14,0))*14,IF(E18="Monthly",IF(EDATE(C18,MAX(0,(YEAR(cr_start)-YEAR(C18))*12+MONTH(cr_start)-MONTH(C18)))&gt;=cr_start,EDATE(C18,MAX(0,(YEAR(cr_start)-YEAR(C18))*12+MONTH(cr_start)-MONTH(C18))),EDATE(C18,MAX(0,(YEAR(cr_start)-YEAR(C18))*12+MONTH(cr_start)-MONTH(C18))+1)),IF(E18="Quarterly",IF(EDATE(C18,MAX(0,ROUNDUP(((YEAR(cr_start)-YEAR(C18))*12+MONTH(cr_start)-MONTH(C18))/3,0))*3)&gt;=cr_start,EDATE(C18,MAX(0,ROUNDUP(((YEAR(cr_start)-YEAR(C18))*12+MONTH(cr_start)-MONTH(C18))/3,0))*3),EDATE(C18,MAX(0,ROUNDUP(((YEAR(cr_start)-YEAR(C18))*12+MONTH(cr_start)-MONTH(C18))/3,0))*3+3)),C18))))))</f>
        <v/>
      </c>
      <c r="G18" s="33" t="str">
        <f>IF(AND(B18="",C18="",D18=""),"",IF(D18="","No amount yet: not counted",IF(C18="","No date yet: not counted",IF(F18&lt;cr_start,"Date has passed: not counted",IF(F18&gt;cr_last,"After the 90 days","Counted")))))</f>
        <v/>
      </c>
    </row>
    <row r="19" spans="2:7" s="1" customFormat="1">
      <c r="B19" s="25"/>
      <c r="C19" s="26"/>
      <c r="D19" s="27"/>
      <c r="E19" s="25"/>
      <c r="F19" s="32" t="str">
        <f>IF(OR(D19="",C19=""),"",IF(E19="Every day",MAX(C19,cr_start),IF(E19="Weekly",C19+MAX(0,ROUNDUP((cr_start-C19)/7,0))*7,IF(E19="Every 2 weeks",C19+MAX(0,ROUNDUP((cr_start-C19)/14,0))*14,IF(E19="Monthly",IF(EDATE(C19,MAX(0,(YEAR(cr_start)-YEAR(C19))*12+MONTH(cr_start)-MONTH(C19)))&gt;=cr_start,EDATE(C19,MAX(0,(YEAR(cr_start)-YEAR(C19))*12+MONTH(cr_start)-MONTH(C19))),EDATE(C19,MAX(0,(YEAR(cr_start)-YEAR(C19))*12+MONTH(cr_start)-MONTH(C19))+1)),IF(E19="Quarterly",IF(EDATE(C19,MAX(0,ROUNDUP(((YEAR(cr_start)-YEAR(C19))*12+MONTH(cr_start)-MONTH(C19))/3,0))*3)&gt;=cr_start,EDATE(C19,MAX(0,ROUNDUP(((YEAR(cr_start)-YEAR(C19))*12+MONTH(cr_start)-MONTH(C19))/3,0))*3),EDATE(C19,MAX(0,ROUNDUP(((YEAR(cr_start)-YEAR(C19))*12+MONTH(cr_start)-MONTH(C19))/3,0))*3+3)),C19))))))</f>
        <v/>
      </c>
      <c r="G19" s="33" t="str">
        <f>IF(AND(B19="",C19="",D19=""),"",IF(D19="","No amount yet: not counted",IF(C19="","No date yet: not counted",IF(F19&lt;cr_start,"Date has passed: not counted",IF(F19&gt;cr_last,"After the 90 days","Counted")))))</f>
        <v/>
      </c>
    </row>
    <row r="20" spans="2:7" s="1" customFormat="1">
      <c r="B20" s="25"/>
      <c r="C20" s="26"/>
      <c r="D20" s="27"/>
      <c r="E20" s="25"/>
      <c r="F20" s="32" t="str">
        <f>IF(OR(D20="",C20=""),"",IF(E20="Every day",MAX(C20,cr_start),IF(E20="Weekly",C20+MAX(0,ROUNDUP((cr_start-C20)/7,0))*7,IF(E20="Every 2 weeks",C20+MAX(0,ROUNDUP((cr_start-C20)/14,0))*14,IF(E20="Monthly",IF(EDATE(C20,MAX(0,(YEAR(cr_start)-YEAR(C20))*12+MONTH(cr_start)-MONTH(C20)))&gt;=cr_start,EDATE(C20,MAX(0,(YEAR(cr_start)-YEAR(C20))*12+MONTH(cr_start)-MONTH(C20))),EDATE(C20,MAX(0,(YEAR(cr_start)-YEAR(C20))*12+MONTH(cr_start)-MONTH(C20))+1)),IF(E20="Quarterly",IF(EDATE(C20,MAX(0,ROUNDUP(((YEAR(cr_start)-YEAR(C20))*12+MONTH(cr_start)-MONTH(C20))/3,0))*3)&gt;=cr_start,EDATE(C20,MAX(0,ROUNDUP(((YEAR(cr_start)-YEAR(C20))*12+MONTH(cr_start)-MONTH(C20))/3,0))*3),EDATE(C20,MAX(0,ROUNDUP(((YEAR(cr_start)-YEAR(C20))*12+MONTH(cr_start)-MONTH(C20))/3,0))*3+3)),C20))))))</f>
        <v/>
      </c>
      <c r="G20" s="33" t="str">
        <f>IF(AND(B20="",C20="",D20=""),"",IF(D20="","No amount yet: not counted",IF(C20="","No date yet: not counted",IF(F20&lt;cr_start,"Date has passed: not counted",IF(F20&gt;cr_last,"After the 90 days","Counted")))))</f>
        <v/>
      </c>
    </row>
    <row r="21" spans="2:7" s="1" customFormat="1">
      <c r="B21" s="25"/>
      <c r="C21" s="26"/>
      <c r="D21" s="27"/>
      <c r="E21" s="25"/>
      <c r="F21" s="32" t="str">
        <f>IF(OR(D21="",C21=""),"",IF(E21="Every day",MAX(C21,cr_start),IF(E21="Weekly",C21+MAX(0,ROUNDUP((cr_start-C21)/7,0))*7,IF(E21="Every 2 weeks",C21+MAX(0,ROUNDUP((cr_start-C21)/14,0))*14,IF(E21="Monthly",IF(EDATE(C21,MAX(0,(YEAR(cr_start)-YEAR(C21))*12+MONTH(cr_start)-MONTH(C21)))&gt;=cr_start,EDATE(C21,MAX(0,(YEAR(cr_start)-YEAR(C21))*12+MONTH(cr_start)-MONTH(C21))),EDATE(C21,MAX(0,(YEAR(cr_start)-YEAR(C21))*12+MONTH(cr_start)-MONTH(C21))+1)),IF(E21="Quarterly",IF(EDATE(C21,MAX(0,ROUNDUP(((YEAR(cr_start)-YEAR(C21))*12+MONTH(cr_start)-MONTH(C21))/3,0))*3)&gt;=cr_start,EDATE(C21,MAX(0,ROUNDUP(((YEAR(cr_start)-YEAR(C21))*12+MONTH(cr_start)-MONTH(C21))/3,0))*3),EDATE(C21,MAX(0,ROUNDUP(((YEAR(cr_start)-YEAR(C21))*12+MONTH(cr_start)-MONTH(C21))/3,0))*3+3)),C21))))))</f>
        <v/>
      </c>
      <c r="G21" s="33" t="str">
        <f>IF(AND(B21="",C21="",D21=""),"",IF(D21="","No amount yet: not counted",IF(C21="","No date yet: not counted",IF(F21&lt;cr_start,"Date has passed: not counted",IF(F21&gt;cr_last,"After the 90 days","Counted")))))</f>
        <v/>
      </c>
    </row>
    <row r="22" spans="2:7" s="1" customFormat="1">
      <c r="B22" s="25"/>
      <c r="C22" s="26"/>
      <c r="D22" s="27"/>
      <c r="E22" s="25"/>
      <c r="F22" s="32" t="str">
        <f>IF(OR(D22="",C22=""),"",IF(E22="Every day",MAX(C22,cr_start),IF(E22="Weekly",C22+MAX(0,ROUNDUP((cr_start-C22)/7,0))*7,IF(E22="Every 2 weeks",C22+MAX(0,ROUNDUP((cr_start-C22)/14,0))*14,IF(E22="Monthly",IF(EDATE(C22,MAX(0,(YEAR(cr_start)-YEAR(C22))*12+MONTH(cr_start)-MONTH(C22)))&gt;=cr_start,EDATE(C22,MAX(0,(YEAR(cr_start)-YEAR(C22))*12+MONTH(cr_start)-MONTH(C22))),EDATE(C22,MAX(0,(YEAR(cr_start)-YEAR(C22))*12+MONTH(cr_start)-MONTH(C22))+1)),IF(E22="Quarterly",IF(EDATE(C22,MAX(0,ROUNDUP(((YEAR(cr_start)-YEAR(C22))*12+MONTH(cr_start)-MONTH(C22))/3,0))*3)&gt;=cr_start,EDATE(C22,MAX(0,ROUNDUP(((YEAR(cr_start)-YEAR(C22))*12+MONTH(cr_start)-MONTH(C22))/3,0))*3),EDATE(C22,MAX(0,ROUNDUP(((YEAR(cr_start)-YEAR(C22))*12+MONTH(cr_start)-MONTH(C22))/3,0))*3+3)),C22))))))</f>
        <v/>
      </c>
      <c r="G22" s="33" t="str">
        <f>IF(AND(B22="",C22="",D22=""),"",IF(D22="","No amount yet: not counted",IF(C22="","No date yet: not counted",IF(F22&lt;cr_start,"Date has passed: not counted",IF(F22&gt;cr_last,"After the 90 days","Counted")))))</f>
        <v/>
      </c>
    </row>
    <row r="23" spans="2:7" s="1" customFormat="1">
      <c r="B23" s="25"/>
      <c r="C23" s="26"/>
      <c r="D23" s="27"/>
      <c r="E23" s="25"/>
      <c r="F23" s="32" t="str">
        <f>IF(OR(D23="",C23=""),"",IF(E23="Every day",MAX(C23,cr_start),IF(E23="Weekly",C23+MAX(0,ROUNDUP((cr_start-C23)/7,0))*7,IF(E23="Every 2 weeks",C23+MAX(0,ROUNDUP((cr_start-C23)/14,0))*14,IF(E23="Monthly",IF(EDATE(C23,MAX(0,(YEAR(cr_start)-YEAR(C23))*12+MONTH(cr_start)-MONTH(C23)))&gt;=cr_start,EDATE(C23,MAX(0,(YEAR(cr_start)-YEAR(C23))*12+MONTH(cr_start)-MONTH(C23))),EDATE(C23,MAX(0,(YEAR(cr_start)-YEAR(C23))*12+MONTH(cr_start)-MONTH(C23))+1)),IF(E23="Quarterly",IF(EDATE(C23,MAX(0,ROUNDUP(((YEAR(cr_start)-YEAR(C23))*12+MONTH(cr_start)-MONTH(C23))/3,0))*3)&gt;=cr_start,EDATE(C23,MAX(0,ROUNDUP(((YEAR(cr_start)-YEAR(C23))*12+MONTH(cr_start)-MONTH(C23))/3,0))*3),EDATE(C23,MAX(0,ROUNDUP(((YEAR(cr_start)-YEAR(C23))*12+MONTH(cr_start)-MONTH(C23))/3,0))*3+3)),C23))))))</f>
        <v/>
      </c>
      <c r="G23" s="33" t="str">
        <f>IF(AND(B23="",C23="",D23=""),"",IF(D23="","No amount yet: not counted",IF(C23="","No date yet: not counted",IF(F23&lt;cr_start,"Date has passed: not counted",IF(F23&gt;cr_last,"After the 90 days","Counted")))))</f>
        <v/>
      </c>
    </row>
    <row r="24" spans="2:7" s="1" customFormat="1">
      <c r="B24" s="25"/>
      <c r="C24" s="26"/>
      <c r="D24" s="27"/>
      <c r="E24" s="25"/>
      <c r="F24" s="32" t="str">
        <f>IF(OR(D24="",C24=""),"",IF(E24="Every day",MAX(C24,cr_start),IF(E24="Weekly",C24+MAX(0,ROUNDUP((cr_start-C24)/7,0))*7,IF(E24="Every 2 weeks",C24+MAX(0,ROUNDUP((cr_start-C24)/14,0))*14,IF(E24="Monthly",IF(EDATE(C24,MAX(0,(YEAR(cr_start)-YEAR(C24))*12+MONTH(cr_start)-MONTH(C24)))&gt;=cr_start,EDATE(C24,MAX(0,(YEAR(cr_start)-YEAR(C24))*12+MONTH(cr_start)-MONTH(C24))),EDATE(C24,MAX(0,(YEAR(cr_start)-YEAR(C24))*12+MONTH(cr_start)-MONTH(C24))+1)),IF(E24="Quarterly",IF(EDATE(C24,MAX(0,ROUNDUP(((YEAR(cr_start)-YEAR(C24))*12+MONTH(cr_start)-MONTH(C24))/3,0))*3)&gt;=cr_start,EDATE(C24,MAX(0,ROUNDUP(((YEAR(cr_start)-YEAR(C24))*12+MONTH(cr_start)-MONTH(C24))/3,0))*3),EDATE(C24,MAX(0,ROUNDUP(((YEAR(cr_start)-YEAR(C24))*12+MONTH(cr_start)-MONTH(C24))/3,0))*3+3)),C24))))))</f>
        <v/>
      </c>
      <c r="G24" s="33" t="str">
        <f>IF(AND(B24="",C24="",D24=""),"",IF(D24="","No amount yet: not counted",IF(C24="","No date yet: not counted",IF(F24&lt;cr_start,"Date has passed: not counted",IF(F24&gt;cr_last,"After the 90 days","Counted")))))</f>
        <v/>
      </c>
    </row>
    <row r="25" spans="2:7" s="1" customFormat="1">
      <c r="B25" s="25"/>
      <c r="C25" s="26"/>
      <c r="D25" s="27"/>
      <c r="E25" s="25"/>
      <c r="F25" s="32" t="str">
        <f>IF(OR(D25="",C25=""),"",IF(E25="Every day",MAX(C25,cr_start),IF(E25="Weekly",C25+MAX(0,ROUNDUP((cr_start-C25)/7,0))*7,IF(E25="Every 2 weeks",C25+MAX(0,ROUNDUP((cr_start-C25)/14,0))*14,IF(E25="Monthly",IF(EDATE(C25,MAX(0,(YEAR(cr_start)-YEAR(C25))*12+MONTH(cr_start)-MONTH(C25)))&gt;=cr_start,EDATE(C25,MAX(0,(YEAR(cr_start)-YEAR(C25))*12+MONTH(cr_start)-MONTH(C25))),EDATE(C25,MAX(0,(YEAR(cr_start)-YEAR(C25))*12+MONTH(cr_start)-MONTH(C25))+1)),IF(E25="Quarterly",IF(EDATE(C25,MAX(0,ROUNDUP(((YEAR(cr_start)-YEAR(C25))*12+MONTH(cr_start)-MONTH(C25))/3,0))*3)&gt;=cr_start,EDATE(C25,MAX(0,ROUNDUP(((YEAR(cr_start)-YEAR(C25))*12+MONTH(cr_start)-MONTH(C25))/3,0))*3),EDATE(C25,MAX(0,ROUNDUP(((YEAR(cr_start)-YEAR(C25))*12+MONTH(cr_start)-MONTH(C25))/3,0))*3+3)),C25))))))</f>
        <v/>
      </c>
      <c r="G25" s="33" t="str">
        <f>IF(AND(B25="",C25="",D25=""),"",IF(D25="","No amount yet: not counted",IF(C25="","No date yet: not counted",IF(F25&lt;cr_start,"Date has passed: not counted",IF(F25&gt;cr_last,"After the 90 days","Counted")))))</f>
        <v/>
      </c>
    </row>
    <row r="26" spans="2:7" s="1" customFormat="1">
      <c r="B26" s="25"/>
      <c r="C26" s="26"/>
      <c r="D26" s="27"/>
      <c r="E26" s="25"/>
      <c r="F26" s="32" t="str">
        <f>IF(OR(D26="",C26=""),"",IF(E26="Every day",MAX(C26,cr_start),IF(E26="Weekly",C26+MAX(0,ROUNDUP((cr_start-C26)/7,0))*7,IF(E26="Every 2 weeks",C26+MAX(0,ROUNDUP((cr_start-C26)/14,0))*14,IF(E26="Monthly",IF(EDATE(C26,MAX(0,(YEAR(cr_start)-YEAR(C26))*12+MONTH(cr_start)-MONTH(C26)))&gt;=cr_start,EDATE(C26,MAX(0,(YEAR(cr_start)-YEAR(C26))*12+MONTH(cr_start)-MONTH(C26))),EDATE(C26,MAX(0,(YEAR(cr_start)-YEAR(C26))*12+MONTH(cr_start)-MONTH(C26))+1)),IF(E26="Quarterly",IF(EDATE(C26,MAX(0,ROUNDUP(((YEAR(cr_start)-YEAR(C26))*12+MONTH(cr_start)-MONTH(C26))/3,0))*3)&gt;=cr_start,EDATE(C26,MAX(0,ROUNDUP(((YEAR(cr_start)-YEAR(C26))*12+MONTH(cr_start)-MONTH(C26))/3,0))*3),EDATE(C26,MAX(0,ROUNDUP(((YEAR(cr_start)-YEAR(C26))*12+MONTH(cr_start)-MONTH(C26))/3,0))*3+3)),C26))))))</f>
        <v/>
      </c>
      <c r="G26" s="33" t="str">
        <f>IF(AND(B26="",C26="",D26=""),"",IF(D26="","No amount yet: not counted",IF(C26="","No date yet: not counted",IF(F26&lt;cr_start,"Date has passed: not counted",IF(F26&gt;cr_last,"After the 90 days","Counted")))))</f>
        <v/>
      </c>
    </row>
    <row r="27" spans="2:7" s="1" customFormat="1">
      <c r="B27" s="25"/>
      <c r="C27" s="26"/>
      <c r="D27" s="27"/>
      <c r="E27" s="25"/>
      <c r="F27" s="32" t="str">
        <f>IF(OR(D27="",C27=""),"",IF(E27="Every day",MAX(C27,cr_start),IF(E27="Weekly",C27+MAX(0,ROUNDUP((cr_start-C27)/7,0))*7,IF(E27="Every 2 weeks",C27+MAX(0,ROUNDUP((cr_start-C27)/14,0))*14,IF(E27="Monthly",IF(EDATE(C27,MAX(0,(YEAR(cr_start)-YEAR(C27))*12+MONTH(cr_start)-MONTH(C27)))&gt;=cr_start,EDATE(C27,MAX(0,(YEAR(cr_start)-YEAR(C27))*12+MONTH(cr_start)-MONTH(C27))),EDATE(C27,MAX(0,(YEAR(cr_start)-YEAR(C27))*12+MONTH(cr_start)-MONTH(C27))+1)),IF(E27="Quarterly",IF(EDATE(C27,MAX(0,ROUNDUP(((YEAR(cr_start)-YEAR(C27))*12+MONTH(cr_start)-MONTH(C27))/3,0))*3)&gt;=cr_start,EDATE(C27,MAX(0,ROUNDUP(((YEAR(cr_start)-YEAR(C27))*12+MONTH(cr_start)-MONTH(C27))/3,0))*3),EDATE(C27,MAX(0,ROUNDUP(((YEAR(cr_start)-YEAR(C27))*12+MONTH(cr_start)-MONTH(C27))/3,0))*3+3)),C27))))))</f>
        <v/>
      </c>
      <c r="G27" s="33" t="str">
        <f>IF(AND(B27="",C27="",D27=""),"",IF(D27="","No amount yet: not counted",IF(C27="","No date yet: not counted",IF(F27&lt;cr_start,"Date has passed: not counted",IF(F27&gt;cr_last,"After the 90 days","Counted")))))</f>
        <v/>
      </c>
    </row>
    <row r="28" spans="2:7" s="1" customFormat="1">
      <c r="B28" s="25"/>
      <c r="C28" s="26"/>
      <c r="D28" s="27"/>
      <c r="E28" s="25"/>
      <c r="F28" s="32" t="str">
        <f>IF(OR(D28="",C28=""),"",IF(E28="Every day",MAX(C28,cr_start),IF(E28="Weekly",C28+MAX(0,ROUNDUP((cr_start-C28)/7,0))*7,IF(E28="Every 2 weeks",C28+MAX(0,ROUNDUP((cr_start-C28)/14,0))*14,IF(E28="Monthly",IF(EDATE(C28,MAX(0,(YEAR(cr_start)-YEAR(C28))*12+MONTH(cr_start)-MONTH(C28)))&gt;=cr_start,EDATE(C28,MAX(0,(YEAR(cr_start)-YEAR(C28))*12+MONTH(cr_start)-MONTH(C28))),EDATE(C28,MAX(0,(YEAR(cr_start)-YEAR(C28))*12+MONTH(cr_start)-MONTH(C28))+1)),IF(E28="Quarterly",IF(EDATE(C28,MAX(0,ROUNDUP(((YEAR(cr_start)-YEAR(C28))*12+MONTH(cr_start)-MONTH(C28))/3,0))*3)&gt;=cr_start,EDATE(C28,MAX(0,ROUNDUP(((YEAR(cr_start)-YEAR(C28))*12+MONTH(cr_start)-MONTH(C28))/3,0))*3),EDATE(C28,MAX(0,ROUNDUP(((YEAR(cr_start)-YEAR(C28))*12+MONTH(cr_start)-MONTH(C28))/3,0))*3+3)),C28))))))</f>
        <v/>
      </c>
      <c r="G28" s="33" t="str">
        <f>IF(AND(B28="",C28="",D28=""),"",IF(D28="","No amount yet: not counted",IF(C28="","No date yet: not counted",IF(F28&lt;cr_start,"Date has passed: not counted",IF(F28&gt;cr_last,"After the 90 days","Counted")))))</f>
        <v/>
      </c>
    </row>
    <row r="29" spans="2:7" s="1" customFormat="1">
      <c r="B29" s="25"/>
      <c r="C29" s="26"/>
      <c r="D29" s="27"/>
      <c r="E29" s="25"/>
      <c r="F29" s="32" t="str">
        <f>IF(OR(D29="",C29=""),"",IF(E29="Every day",MAX(C29,cr_start),IF(E29="Weekly",C29+MAX(0,ROUNDUP((cr_start-C29)/7,0))*7,IF(E29="Every 2 weeks",C29+MAX(0,ROUNDUP((cr_start-C29)/14,0))*14,IF(E29="Monthly",IF(EDATE(C29,MAX(0,(YEAR(cr_start)-YEAR(C29))*12+MONTH(cr_start)-MONTH(C29)))&gt;=cr_start,EDATE(C29,MAX(0,(YEAR(cr_start)-YEAR(C29))*12+MONTH(cr_start)-MONTH(C29))),EDATE(C29,MAX(0,(YEAR(cr_start)-YEAR(C29))*12+MONTH(cr_start)-MONTH(C29))+1)),IF(E29="Quarterly",IF(EDATE(C29,MAX(0,ROUNDUP(((YEAR(cr_start)-YEAR(C29))*12+MONTH(cr_start)-MONTH(C29))/3,0))*3)&gt;=cr_start,EDATE(C29,MAX(0,ROUNDUP(((YEAR(cr_start)-YEAR(C29))*12+MONTH(cr_start)-MONTH(C29))/3,0))*3),EDATE(C29,MAX(0,ROUNDUP(((YEAR(cr_start)-YEAR(C29))*12+MONTH(cr_start)-MONTH(C29))/3,0))*3+3)),C29))))))</f>
        <v/>
      </c>
      <c r="G29" s="33" t="str">
        <f>IF(AND(B29="",C29="",D29=""),"",IF(D29="","No amount yet: not counted",IF(C29="","No date yet: not counted",IF(F29&lt;cr_start,"Date has passed: not counted",IF(F29&gt;cr_last,"After the 90 days","Counted")))))</f>
        <v/>
      </c>
    </row>
    <row r="30" spans="2:7" s="1" customFormat="1">
      <c r="B30" s="25"/>
      <c r="C30" s="26"/>
      <c r="D30" s="27"/>
      <c r="E30" s="25"/>
      <c r="F30" s="32" t="str">
        <f>IF(OR(D30="",C30=""),"",IF(E30="Every day",MAX(C30,cr_start),IF(E30="Weekly",C30+MAX(0,ROUNDUP((cr_start-C30)/7,0))*7,IF(E30="Every 2 weeks",C30+MAX(0,ROUNDUP((cr_start-C30)/14,0))*14,IF(E30="Monthly",IF(EDATE(C30,MAX(0,(YEAR(cr_start)-YEAR(C30))*12+MONTH(cr_start)-MONTH(C30)))&gt;=cr_start,EDATE(C30,MAX(0,(YEAR(cr_start)-YEAR(C30))*12+MONTH(cr_start)-MONTH(C30))),EDATE(C30,MAX(0,(YEAR(cr_start)-YEAR(C30))*12+MONTH(cr_start)-MONTH(C30))+1)),IF(E30="Quarterly",IF(EDATE(C30,MAX(0,ROUNDUP(((YEAR(cr_start)-YEAR(C30))*12+MONTH(cr_start)-MONTH(C30))/3,0))*3)&gt;=cr_start,EDATE(C30,MAX(0,ROUNDUP(((YEAR(cr_start)-YEAR(C30))*12+MONTH(cr_start)-MONTH(C30))/3,0))*3),EDATE(C30,MAX(0,ROUNDUP(((YEAR(cr_start)-YEAR(C30))*12+MONTH(cr_start)-MONTH(C30))/3,0))*3+3)),C30))))))</f>
        <v/>
      </c>
      <c r="G30" s="33" t="str">
        <f>IF(AND(B30="",C30="",D30=""),"",IF(D30="","No amount yet: not counted",IF(C30="","No date yet: not counted",IF(F30&lt;cr_start,"Date has passed: not counted",IF(F30&gt;cr_last,"After the 90 days","Counted")))))</f>
        <v/>
      </c>
    </row>
    <row r="31" spans="2:7" s="1" customFormat="1">
      <c r="B31" s="25"/>
      <c r="C31" s="26"/>
      <c r="D31" s="27"/>
      <c r="E31" s="25"/>
      <c r="F31" s="32" t="str">
        <f>IF(OR(D31="",C31=""),"",IF(E31="Every day",MAX(C31,cr_start),IF(E31="Weekly",C31+MAX(0,ROUNDUP((cr_start-C31)/7,0))*7,IF(E31="Every 2 weeks",C31+MAX(0,ROUNDUP((cr_start-C31)/14,0))*14,IF(E31="Monthly",IF(EDATE(C31,MAX(0,(YEAR(cr_start)-YEAR(C31))*12+MONTH(cr_start)-MONTH(C31)))&gt;=cr_start,EDATE(C31,MAX(0,(YEAR(cr_start)-YEAR(C31))*12+MONTH(cr_start)-MONTH(C31))),EDATE(C31,MAX(0,(YEAR(cr_start)-YEAR(C31))*12+MONTH(cr_start)-MONTH(C31))+1)),IF(E31="Quarterly",IF(EDATE(C31,MAX(0,ROUNDUP(((YEAR(cr_start)-YEAR(C31))*12+MONTH(cr_start)-MONTH(C31))/3,0))*3)&gt;=cr_start,EDATE(C31,MAX(0,ROUNDUP(((YEAR(cr_start)-YEAR(C31))*12+MONTH(cr_start)-MONTH(C31))/3,0))*3),EDATE(C31,MAX(0,ROUNDUP(((YEAR(cr_start)-YEAR(C31))*12+MONTH(cr_start)-MONTH(C31))/3,0))*3+3)),C31))))))</f>
        <v/>
      </c>
      <c r="G31" s="33" t="str">
        <f>IF(AND(B31="",C31="",D31=""),"",IF(D31="","No amount yet: not counted",IF(C31="","No date yet: not counted",IF(F31&lt;cr_start,"Date has passed: not counted",IF(F31&gt;cr_last,"After the 90 days","Counted")))))</f>
        <v/>
      </c>
    </row>
    <row r="32" spans="2:7" s="1" customFormat="1">
      <c r="B32" s="25"/>
      <c r="C32" s="26"/>
      <c r="D32" s="27"/>
      <c r="E32" s="25"/>
      <c r="F32" s="32" t="str">
        <f>IF(OR(D32="",C32=""),"",IF(E32="Every day",MAX(C32,cr_start),IF(E32="Weekly",C32+MAX(0,ROUNDUP((cr_start-C32)/7,0))*7,IF(E32="Every 2 weeks",C32+MAX(0,ROUNDUP((cr_start-C32)/14,0))*14,IF(E32="Monthly",IF(EDATE(C32,MAX(0,(YEAR(cr_start)-YEAR(C32))*12+MONTH(cr_start)-MONTH(C32)))&gt;=cr_start,EDATE(C32,MAX(0,(YEAR(cr_start)-YEAR(C32))*12+MONTH(cr_start)-MONTH(C32))),EDATE(C32,MAX(0,(YEAR(cr_start)-YEAR(C32))*12+MONTH(cr_start)-MONTH(C32))+1)),IF(E32="Quarterly",IF(EDATE(C32,MAX(0,ROUNDUP(((YEAR(cr_start)-YEAR(C32))*12+MONTH(cr_start)-MONTH(C32))/3,0))*3)&gt;=cr_start,EDATE(C32,MAX(0,ROUNDUP(((YEAR(cr_start)-YEAR(C32))*12+MONTH(cr_start)-MONTH(C32))/3,0))*3),EDATE(C32,MAX(0,ROUNDUP(((YEAR(cr_start)-YEAR(C32))*12+MONTH(cr_start)-MONTH(C32))/3,0))*3+3)),C32))))))</f>
        <v/>
      </c>
      <c r="G32" s="33" t="str">
        <f>IF(AND(B32="",C32="",D32=""),"",IF(D32="","No amount yet: not counted",IF(C32="","No date yet: not counted",IF(F32&lt;cr_start,"Date has passed: not counted",IF(F32&gt;cr_last,"After the 90 days","Counted")))))</f>
        <v/>
      </c>
    </row>
    <row r="33" spans="2:7" s="1" customFormat="1">
      <c r="B33" s="25"/>
      <c r="C33" s="26"/>
      <c r="D33" s="27"/>
      <c r="E33" s="25"/>
      <c r="F33" s="32" t="str">
        <f>IF(OR(D33="",C33=""),"",IF(E33="Every day",MAX(C33,cr_start),IF(E33="Weekly",C33+MAX(0,ROUNDUP((cr_start-C33)/7,0))*7,IF(E33="Every 2 weeks",C33+MAX(0,ROUNDUP((cr_start-C33)/14,0))*14,IF(E33="Monthly",IF(EDATE(C33,MAX(0,(YEAR(cr_start)-YEAR(C33))*12+MONTH(cr_start)-MONTH(C33)))&gt;=cr_start,EDATE(C33,MAX(0,(YEAR(cr_start)-YEAR(C33))*12+MONTH(cr_start)-MONTH(C33))),EDATE(C33,MAX(0,(YEAR(cr_start)-YEAR(C33))*12+MONTH(cr_start)-MONTH(C33))+1)),IF(E33="Quarterly",IF(EDATE(C33,MAX(0,ROUNDUP(((YEAR(cr_start)-YEAR(C33))*12+MONTH(cr_start)-MONTH(C33))/3,0))*3)&gt;=cr_start,EDATE(C33,MAX(0,ROUNDUP(((YEAR(cr_start)-YEAR(C33))*12+MONTH(cr_start)-MONTH(C33))/3,0))*3),EDATE(C33,MAX(0,ROUNDUP(((YEAR(cr_start)-YEAR(C33))*12+MONTH(cr_start)-MONTH(C33))/3,0))*3+3)),C33))))))</f>
        <v/>
      </c>
      <c r="G33" s="33" t="str">
        <f>IF(AND(B33="",C33="",D33=""),"",IF(D33="","No amount yet: not counted",IF(C33="","No date yet: not counted",IF(F33&lt;cr_start,"Date has passed: not counted",IF(F33&gt;cr_last,"After the 90 days","Counted")))))</f>
        <v/>
      </c>
    </row>
    <row r="34" spans="2:7" s="1" customFormat="1"/>
    <row r="35" spans="2:7" s="1" customFormat="1" ht="26.25" customHeight="1">
      <c r="B35" s="29" t="s">
        <v>22</v>
      </c>
    </row>
    <row r="36" spans="2:7" s="1" customFormat="1" ht="32.25" customHeight="1">
      <c r="B36" s="30" t="s">
        <v>10</v>
      </c>
      <c r="C36" s="31" t="s">
        <v>11</v>
      </c>
      <c r="D36" s="31" t="s">
        <v>12</v>
      </c>
      <c r="E36" s="30" t="s">
        <v>13</v>
      </c>
      <c r="F36" s="31" t="s">
        <v>14</v>
      </c>
      <c r="G36" s="30" t="s">
        <v>15</v>
      </c>
    </row>
    <row r="37" spans="2:7" s="1" customFormat="1">
      <c r="B37" s="25" t="s">
        <v>23</v>
      </c>
      <c r="C37" s="26">
        <v>46357</v>
      </c>
      <c r="D37" s="27">
        <v>3600</v>
      </c>
      <c r="E37" s="25" t="s">
        <v>24</v>
      </c>
      <c r="F37" s="32">
        <f>IF(OR(D37="",C37=""),"",IF(E37="Every day",MAX(C37,cr_start),IF(E37="Weekly",C37+MAX(0,ROUNDUP((cr_start-C37)/7,0))*7,IF(E37="Every 2 weeks",C37+MAX(0,ROUNDUP((cr_start-C37)/14,0))*14,IF(E37="Monthly",IF(EDATE(C37,MAX(0,(YEAR(cr_start)-YEAR(C37))*12+MONTH(cr_start)-MONTH(C37)))&gt;=cr_start,EDATE(C37,MAX(0,(YEAR(cr_start)-YEAR(C37))*12+MONTH(cr_start)-MONTH(C37))),EDATE(C37,MAX(0,(YEAR(cr_start)-YEAR(C37))*12+MONTH(cr_start)-MONTH(C37))+1)),IF(E37="Quarterly",IF(EDATE(C37,MAX(0,ROUNDUP(((YEAR(cr_start)-YEAR(C37))*12+MONTH(cr_start)-MONTH(C37))/3,0))*3)&gt;=cr_start,EDATE(C37,MAX(0,ROUNDUP(((YEAR(cr_start)-YEAR(C37))*12+MONTH(cr_start)-MONTH(C37))/3,0))*3),EDATE(C37,MAX(0,ROUNDUP(((YEAR(cr_start)-YEAR(C37))*12+MONTH(cr_start)-MONTH(C37))/3,0))*3+3)),C37))))))</f>
        <v>46357.0</v>
      </c>
      <c r="G37" s="33" t="str">
        <f>IF(AND(B37="",C37="",D37=""),"",IF(D37="","No amount yet: not counted",IF(C37="","No date yet: not counted",IF(F37&lt;cr_start,"Date has passed: not counted",IF(F37&gt;cr_last,"After the 90 days","Counted")))))</f>
        <v>Counted</v>
      </c>
    </row>
    <row r="38" spans="2:7" s="1" customFormat="1">
      <c r="B38" s="25" t="s">
        <v>25</v>
      </c>
      <c r="C38" s="26">
        <v>46332</v>
      </c>
      <c r="D38" s="27">
        <v>3400</v>
      </c>
      <c r="E38" s="25" t="s">
        <v>26</v>
      </c>
      <c r="F38" s="32">
        <f>IF(OR(D38="",C38=""),"",IF(E38="Every day",MAX(C38,cr_start),IF(E38="Weekly",C38+MAX(0,ROUNDUP((cr_start-C38)/7,0))*7,IF(E38="Every 2 weeks",C38+MAX(0,ROUNDUP((cr_start-C38)/14,0))*14,IF(E38="Monthly",IF(EDATE(C38,MAX(0,(YEAR(cr_start)-YEAR(C38))*12+MONTH(cr_start)-MONTH(C38)))&gt;=cr_start,EDATE(C38,MAX(0,(YEAR(cr_start)-YEAR(C38))*12+MONTH(cr_start)-MONTH(C38))),EDATE(C38,MAX(0,(YEAR(cr_start)-YEAR(C38))*12+MONTH(cr_start)-MONTH(C38))+1)),IF(E38="Quarterly",IF(EDATE(C38,MAX(0,ROUNDUP(((YEAR(cr_start)-YEAR(C38))*12+MONTH(cr_start)-MONTH(C38))/3,0))*3)&gt;=cr_start,EDATE(C38,MAX(0,ROUNDUP(((YEAR(cr_start)-YEAR(C38))*12+MONTH(cr_start)-MONTH(C38))/3,0))*3),EDATE(C38,MAX(0,ROUNDUP(((YEAR(cr_start)-YEAR(C38))*12+MONTH(cr_start)-MONTH(C38))/3,0))*3+3)),C38))))))</f>
        <v>46332.0</v>
      </c>
      <c r="G38" s="33" t="str">
        <f>IF(AND(B38="",C38="",D38=""),"",IF(D38="","No amount yet: not counted",IF(C38="","No date yet: not counted",IF(F38&lt;cr_start,"Date has passed: not counted",IF(F38&gt;cr_last,"After the 90 days","Counted")))))</f>
        <v>Counted</v>
      </c>
    </row>
    <row r="39" spans="2:7" s="1" customFormat="1">
      <c r="B39" s="25" t="s">
        <v>27</v>
      </c>
      <c r="C39" s="26">
        <v>46353</v>
      </c>
      <c r="D39" s="27">
        <v>4400</v>
      </c>
      <c r="E39" s="25" t="s">
        <v>19</v>
      </c>
      <c r="F39" s="32">
        <f>IF(OR(D39="",C39=""),"",IF(E39="Every day",MAX(C39,cr_start),IF(E39="Weekly",C39+MAX(0,ROUNDUP((cr_start-C39)/7,0))*7,IF(E39="Every 2 weeks",C39+MAX(0,ROUNDUP((cr_start-C39)/14,0))*14,IF(E39="Monthly",IF(EDATE(C39,MAX(0,(YEAR(cr_start)-YEAR(C39))*12+MONTH(cr_start)-MONTH(C39)))&gt;=cr_start,EDATE(C39,MAX(0,(YEAR(cr_start)-YEAR(C39))*12+MONTH(cr_start)-MONTH(C39))),EDATE(C39,MAX(0,(YEAR(cr_start)-YEAR(C39))*12+MONTH(cr_start)-MONTH(C39))+1)),IF(E39="Quarterly",IF(EDATE(C39,MAX(0,ROUNDUP(((YEAR(cr_start)-YEAR(C39))*12+MONTH(cr_start)-MONTH(C39))/3,0))*3)&gt;=cr_start,EDATE(C39,MAX(0,ROUNDUP(((YEAR(cr_start)-YEAR(C39))*12+MONTH(cr_start)-MONTH(C39))/3,0))*3),EDATE(C39,MAX(0,ROUNDUP(((YEAR(cr_start)-YEAR(C39))*12+MONTH(cr_start)-MONTH(C39))/3,0))*3+3)),C39))))))</f>
        <v>46353.0</v>
      </c>
      <c r="G39" s="33" t="str">
        <f>IF(AND(B39="",C39="",D39=""),"",IF(D39="","No amount yet: not counted",IF(C39="","No date yet: not counted",IF(F39&lt;cr_start,"Date has passed: not counted",IF(F39&gt;cr_last,"After the 90 days","Counted")))))</f>
        <v>Counted</v>
      </c>
    </row>
    <row r="40" spans="2:7" s="1" customFormat="1">
      <c r="B40" s="25" t="s">
        <v>28</v>
      </c>
      <c r="C40" s="26">
        <v>46341</v>
      </c>
      <c r="D40" s="27">
        <v>1850</v>
      </c>
      <c r="E40" s="25" t="s">
        <v>24</v>
      </c>
      <c r="F40" s="32">
        <f>IF(OR(D40="",C40=""),"",IF(E40="Every day",MAX(C40,cr_start),IF(E40="Weekly",C40+MAX(0,ROUNDUP((cr_start-C40)/7,0))*7,IF(E40="Every 2 weeks",C40+MAX(0,ROUNDUP((cr_start-C40)/14,0))*14,IF(E40="Monthly",IF(EDATE(C40,MAX(0,(YEAR(cr_start)-YEAR(C40))*12+MONTH(cr_start)-MONTH(C40)))&gt;=cr_start,EDATE(C40,MAX(0,(YEAR(cr_start)-YEAR(C40))*12+MONTH(cr_start)-MONTH(C40))),EDATE(C40,MAX(0,(YEAR(cr_start)-YEAR(C40))*12+MONTH(cr_start)-MONTH(C40))+1)),IF(E40="Quarterly",IF(EDATE(C40,MAX(0,ROUNDUP(((YEAR(cr_start)-YEAR(C40))*12+MONTH(cr_start)-MONTH(C40))/3,0))*3)&gt;=cr_start,EDATE(C40,MAX(0,ROUNDUP(((YEAR(cr_start)-YEAR(C40))*12+MONTH(cr_start)-MONTH(C40))/3,0))*3),EDATE(C40,MAX(0,ROUNDUP(((YEAR(cr_start)-YEAR(C40))*12+MONTH(cr_start)-MONTH(C40))/3,0))*3+3)),C40))))))</f>
        <v>46341.0</v>
      </c>
      <c r="G40" s="33" t="str">
        <f>IF(AND(B40="",C40="",D40=""),"",IF(D40="","No amount yet: not counted",IF(C40="","No date yet: not counted",IF(F40&lt;cr_start,"Date has passed: not counted",IF(F40&gt;cr_last,"After the 90 days","Counted")))))</f>
        <v>Counted</v>
      </c>
    </row>
    <row r="41" spans="2:7" s="1" customFormat="1">
      <c r="B41" s="25" t="s">
        <v>29</v>
      </c>
      <c r="C41" s="26">
        <v>46366</v>
      </c>
      <c r="D41" s="27">
        <v>2900</v>
      </c>
      <c r="E41" s="25" t="s">
        <v>19</v>
      </c>
      <c r="F41" s="32">
        <f>IF(OR(D41="",C41=""),"",IF(E41="Every day",MAX(C41,cr_start),IF(E41="Weekly",C41+MAX(0,ROUNDUP((cr_start-C41)/7,0))*7,IF(E41="Every 2 weeks",C41+MAX(0,ROUNDUP((cr_start-C41)/14,0))*14,IF(E41="Monthly",IF(EDATE(C41,MAX(0,(YEAR(cr_start)-YEAR(C41))*12+MONTH(cr_start)-MONTH(C41)))&gt;=cr_start,EDATE(C41,MAX(0,(YEAR(cr_start)-YEAR(C41))*12+MONTH(cr_start)-MONTH(C41))),EDATE(C41,MAX(0,(YEAR(cr_start)-YEAR(C41))*12+MONTH(cr_start)-MONTH(C41))+1)),IF(E41="Quarterly",IF(EDATE(C41,MAX(0,ROUNDUP(((YEAR(cr_start)-YEAR(C41))*12+MONTH(cr_start)-MONTH(C41))/3,0))*3)&gt;=cr_start,EDATE(C41,MAX(0,ROUNDUP(((YEAR(cr_start)-YEAR(C41))*12+MONTH(cr_start)-MONTH(C41))/3,0))*3),EDATE(C41,MAX(0,ROUNDUP(((YEAR(cr_start)-YEAR(C41))*12+MONTH(cr_start)-MONTH(C41))/3,0))*3+3)),C41))))))</f>
        <v>46366.0</v>
      </c>
      <c r="G41" s="33" t="str">
        <f>IF(AND(B41="",C41="",D41=""),"",IF(D41="","No amount yet: not counted",IF(C41="","No date yet: not counted",IF(F41&lt;cr_start,"Date has passed: not counted",IF(F41&gt;cr_last,"After the 90 days","Counted")))))</f>
        <v>Counted</v>
      </c>
    </row>
    <row r="42" spans="2:7" s="1" customFormat="1">
      <c r="B42" s="25" t="s">
        <v>30</v>
      </c>
      <c r="C42" s="26">
        <v>46356</v>
      </c>
      <c r="D42" s="27">
        <v>4300</v>
      </c>
      <c r="E42" s="25" t="s">
        <v>19</v>
      </c>
      <c r="F42" s="32">
        <f>IF(OR(D42="",C42=""),"",IF(E42="Every day",MAX(C42,cr_start),IF(E42="Weekly",C42+MAX(0,ROUNDUP((cr_start-C42)/7,0))*7,IF(E42="Every 2 weeks",C42+MAX(0,ROUNDUP((cr_start-C42)/14,0))*14,IF(E42="Monthly",IF(EDATE(C42,MAX(0,(YEAR(cr_start)-YEAR(C42))*12+MONTH(cr_start)-MONTH(C42)))&gt;=cr_start,EDATE(C42,MAX(0,(YEAR(cr_start)-YEAR(C42))*12+MONTH(cr_start)-MONTH(C42))),EDATE(C42,MAX(0,(YEAR(cr_start)-YEAR(C42))*12+MONTH(cr_start)-MONTH(C42))+1)),IF(E42="Quarterly",IF(EDATE(C42,MAX(0,ROUNDUP(((YEAR(cr_start)-YEAR(C42))*12+MONTH(cr_start)-MONTH(C42))/3,0))*3)&gt;=cr_start,EDATE(C42,MAX(0,ROUNDUP(((YEAR(cr_start)-YEAR(C42))*12+MONTH(cr_start)-MONTH(C42))/3,0))*3),EDATE(C42,MAX(0,ROUNDUP(((YEAR(cr_start)-YEAR(C42))*12+MONTH(cr_start)-MONTH(C42))/3,0))*3+3)),C42))))))</f>
        <v>46356.0</v>
      </c>
      <c r="G42" s="33" t="str">
        <f>IF(AND(B42="",C42="",D42=""),"",IF(D42="","No amount yet: not counted",IF(C42="","No date yet: not counted",IF(F42&lt;cr_start,"Date has passed: not counted",IF(F42&gt;cr_last,"After the 90 days","Counted")))))</f>
        <v>Counted</v>
      </c>
    </row>
    <row r="43" spans="2:7" s="1" customFormat="1">
      <c r="B43" s="25" t="s">
        <v>31</v>
      </c>
      <c r="C43" s="26">
        <v>46335</v>
      </c>
      <c r="D43" s="27">
        <v>190</v>
      </c>
      <c r="E43" s="25" t="s">
        <v>24</v>
      </c>
      <c r="F43" s="32">
        <f>IF(OR(D43="",C43=""),"",IF(E43="Every day",MAX(C43,cr_start),IF(E43="Weekly",C43+MAX(0,ROUNDUP((cr_start-C43)/7,0))*7,IF(E43="Every 2 weeks",C43+MAX(0,ROUNDUP((cr_start-C43)/14,0))*14,IF(E43="Monthly",IF(EDATE(C43,MAX(0,(YEAR(cr_start)-YEAR(C43))*12+MONTH(cr_start)-MONTH(C43)))&gt;=cr_start,EDATE(C43,MAX(0,(YEAR(cr_start)-YEAR(C43))*12+MONTH(cr_start)-MONTH(C43))),EDATE(C43,MAX(0,(YEAR(cr_start)-YEAR(C43))*12+MONTH(cr_start)-MONTH(C43))+1)),IF(E43="Quarterly",IF(EDATE(C43,MAX(0,ROUNDUP(((YEAR(cr_start)-YEAR(C43))*12+MONTH(cr_start)-MONTH(C43))/3,0))*3)&gt;=cr_start,EDATE(C43,MAX(0,ROUNDUP(((YEAR(cr_start)-YEAR(C43))*12+MONTH(cr_start)-MONTH(C43))/3,0))*3),EDATE(C43,MAX(0,ROUNDUP(((YEAR(cr_start)-YEAR(C43))*12+MONTH(cr_start)-MONTH(C43))/3,0))*3+3)),C43))))))</f>
        <v>46335.0</v>
      </c>
      <c r="G43" s="33" t="str">
        <f>IF(AND(B43="",C43="",D43=""),"",IF(D43="","No amount yet: not counted",IF(C43="","No date yet: not counted",IF(F43&lt;cr_start,"Date has passed: not counted",IF(F43&gt;cr_last,"After the 90 days","Counted")))))</f>
        <v>Counted</v>
      </c>
    </row>
    <row r="44" spans="2:7" s="1" customFormat="1">
      <c r="B44" s="25" t="s">
        <v>32</v>
      </c>
      <c r="C44" s="26">
        <v>46374</v>
      </c>
      <c r="D44" s="27">
        <v>1500</v>
      </c>
      <c r="E44" s="25" t="s">
        <v>19</v>
      </c>
      <c r="F44" s="32">
        <f>IF(OR(D44="",C44=""),"",IF(E44="Every day",MAX(C44,cr_start),IF(E44="Weekly",C44+MAX(0,ROUNDUP((cr_start-C44)/7,0))*7,IF(E44="Every 2 weeks",C44+MAX(0,ROUNDUP((cr_start-C44)/14,0))*14,IF(E44="Monthly",IF(EDATE(C44,MAX(0,(YEAR(cr_start)-YEAR(C44))*12+MONTH(cr_start)-MONTH(C44)))&gt;=cr_start,EDATE(C44,MAX(0,(YEAR(cr_start)-YEAR(C44))*12+MONTH(cr_start)-MONTH(C44))),EDATE(C44,MAX(0,(YEAR(cr_start)-YEAR(C44))*12+MONTH(cr_start)-MONTH(C44))+1)),IF(E44="Quarterly",IF(EDATE(C44,MAX(0,ROUNDUP(((YEAR(cr_start)-YEAR(C44))*12+MONTH(cr_start)-MONTH(C44))/3,0))*3)&gt;=cr_start,EDATE(C44,MAX(0,ROUNDUP(((YEAR(cr_start)-YEAR(C44))*12+MONTH(cr_start)-MONTH(C44))/3,0))*3),EDATE(C44,MAX(0,ROUNDUP(((YEAR(cr_start)-YEAR(C44))*12+MONTH(cr_start)-MONTH(C44))/3,0))*3+3)),C44))))))</f>
        <v>46374.0</v>
      </c>
      <c r="G44" s="33" t="str">
        <f>IF(AND(B44="",C44="",D44=""),"",IF(D44="","No amount yet: not counted",IF(C44="","No date yet: not counted",IF(F44&lt;cr_start,"Date has passed: not counted",IF(F44&gt;cr_last,"After the 90 days","Counted")))))</f>
        <v>Counted</v>
      </c>
    </row>
    <row r="45" spans="2:7" s="1" customFormat="1">
      <c r="B45" s="25"/>
      <c r="C45" s="26"/>
      <c r="D45" s="27"/>
      <c r="E45" s="25"/>
      <c r="F45" s="32" t="str">
        <f>IF(OR(D45="",C45=""),"",IF(E45="Every day",MAX(C45,cr_start),IF(E45="Weekly",C45+MAX(0,ROUNDUP((cr_start-C45)/7,0))*7,IF(E45="Every 2 weeks",C45+MAX(0,ROUNDUP((cr_start-C45)/14,0))*14,IF(E45="Monthly",IF(EDATE(C45,MAX(0,(YEAR(cr_start)-YEAR(C45))*12+MONTH(cr_start)-MONTH(C45)))&gt;=cr_start,EDATE(C45,MAX(0,(YEAR(cr_start)-YEAR(C45))*12+MONTH(cr_start)-MONTH(C45))),EDATE(C45,MAX(0,(YEAR(cr_start)-YEAR(C45))*12+MONTH(cr_start)-MONTH(C45))+1)),IF(E45="Quarterly",IF(EDATE(C45,MAX(0,ROUNDUP(((YEAR(cr_start)-YEAR(C45))*12+MONTH(cr_start)-MONTH(C45))/3,0))*3)&gt;=cr_start,EDATE(C45,MAX(0,ROUNDUP(((YEAR(cr_start)-YEAR(C45))*12+MONTH(cr_start)-MONTH(C45))/3,0))*3),EDATE(C45,MAX(0,ROUNDUP(((YEAR(cr_start)-YEAR(C45))*12+MONTH(cr_start)-MONTH(C45))/3,0))*3+3)),C45))))))</f>
        <v/>
      </c>
      <c r="G45" s="33" t="str">
        <f>IF(AND(B45="",C45="",D45=""),"",IF(D45="","No amount yet: not counted",IF(C45="","No date yet: not counted",IF(F45&lt;cr_start,"Date has passed: not counted",IF(F45&gt;cr_last,"After the 90 days","Counted")))))</f>
        <v/>
      </c>
    </row>
    <row r="46" spans="2:7" s="1" customFormat="1">
      <c r="B46" s="25"/>
      <c r="C46" s="26"/>
      <c r="D46" s="27"/>
      <c r="E46" s="25"/>
      <c r="F46" s="32" t="str">
        <f>IF(OR(D46="",C46=""),"",IF(E46="Every day",MAX(C46,cr_start),IF(E46="Weekly",C46+MAX(0,ROUNDUP((cr_start-C46)/7,0))*7,IF(E46="Every 2 weeks",C46+MAX(0,ROUNDUP((cr_start-C46)/14,0))*14,IF(E46="Monthly",IF(EDATE(C46,MAX(0,(YEAR(cr_start)-YEAR(C46))*12+MONTH(cr_start)-MONTH(C46)))&gt;=cr_start,EDATE(C46,MAX(0,(YEAR(cr_start)-YEAR(C46))*12+MONTH(cr_start)-MONTH(C46))),EDATE(C46,MAX(0,(YEAR(cr_start)-YEAR(C46))*12+MONTH(cr_start)-MONTH(C46))+1)),IF(E46="Quarterly",IF(EDATE(C46,MAX(0,ROUNDUP(((YEAR(cr_start)-YEAR(C46))*12+MONTH(cr_start)-MONTH(C46))/3,0))*3)&gt;=cr_start,EDATE(C46,MAX(0,ROUNDUP(((YEAR(cr_start)-YEAR(C46))*12+MONTH(cr_start)-MONTH(C46))/3,0))*3),EDATE(C46,MAX(0,ROUNDUP(((YEAR(cr_start)-YEAR(C46))*12+MONTH(cr_start)-MONTH(C46))/3,0))*3+3)),C46))))))</f>
        <v/>
      </c>
      <c r="G46" s="33" t="str">
        <f>IF(AND(B46="",C46="",D46=""),"",IF(D46="","No amount yet: not counted",IF(C46="","No date yet: not counted",IF(F46&lt;cr_start,"Date has passed: not counted",IF(F46&gt;cr_last,"After the 90 days","Counted")))))</f>
        <v/>
      </c>
    </row>
    <row r="47" spans="2:7" s="1" customFormat="1">
      <c r="B47" s="25"/>
      <c r="C47" s="26"/>
      <c r="D47" s="27"/>
      <c r="E47" s="25"/>
      <c r="F47" s="32" t="str">
        <f>IF(OR(D47="",C47=""),"",IF(E47="Every day",MAX(C47,cr_start),IF(E47="Weekly",C47+MAX(0,ROUNDUP((cr_start-C47)/7,0))*7,IF(E47="Every 2 weeks",C47+MAX(0,ROUNDUP((cr_start-C47)/14,0))*14,IF(E47="Monthly",IF(EDATE(C47,MAX(0,(YEAR(cr_start)-YEAR(C47))*12+MONTH(cr_start)-MONTH(C47)))&gt;=cr_start,EDATE(C47,MAX(0,(YEAR(cr_start)-YEAR(C47))*12+MONTH(cr_start)-MONTH(C47))),EDATE(C47,MAX(0,(YEAR(cr_start)-YEAR(C47))*12+MONTH(cr_start)-MONTH(C47))+1)),IF(E47="Quarterly",IF(EDATE(C47,MAX(0,ROUNDUP(((YEAR(cr_start)-YEAR(C47))*12+MONTH(cr_start)-MONTH(C47))/3,0))*3)&gt;=cr_start,EDATE(C47,MAX(0,ROUNDUP(((YEAR(cr_start)-YEAR(C47))*12+MONTH(cr_start)-MONTH(C47))/3,0))*3),EDATE(C47,MAX(0,ROUNDUP(((YEAR(cr_start)-YEAR(C47))*12+MONTH(cr_start)-MONTH(C47))/3,0))*3+3)),C47))))))</f>
        <v/>
      </c>
      <c r="G47" s="33" t="str">
        <f>IF(AND(B47="",C47="",D47=""),"",IF(D47="","No amount yet: not counted",IF(C47="","No date yet: not counted",IF(F47&lt;cr_start,"Date has passed: not counted",IF(F47&gt;cr_last,"After the 90 days","Counted")))))</f>
        <v/>
      </c>
    </row>
    <row r="48" spans="2:7" s="1" customFormat="1">
      <c r="B48" s="25"/>
      <c r="C48" s="26"/>
      <c r="D48" s="27"/>
      <c r="E48" s="25"/>
      <c r="F48" s="32" t="str">
        <f>IF(OR(D48="",C48=""),"",IF(E48="Every day",MAX(C48,cr_start),IF(E48="Weekly",C48+MAX(0,ROUNDUP((cr_start-C48)/7,0))*7,IF(E48="Every 2 weeks",C48+MAX(0,ROUNDUP((cr_start-C48)/14,0))*14,IF(E48="Monthly",IF(EDATE(C48,MAX(0,(YEAR(cr_start)-YEAR(C48))*12+MONTH(cr_start)-MONTH(C48)))&gt;=cr_start,EDATE(C48,MAX(0,(YEAR(cr_start)-YEAR(C48))*12+MONTH(cr_start)-MONTH(C48))),EDATE(C48,MAX(0,(YEAR(cr_start)-YEAR(C48))*12+MONTH(cr_start)-MONTH(C48))+1)),IF(E48="Quarterly",IF(EDATE(C48,MAX(0,ROUNDUP(((YEAR(cr_start)-YEAR(C48))*12+MONTH(cr_start)-MONTH(C48))/3,0))*3)&gt;=cr_start,EDATE(C48,MAX(0,ROUNDUP(((YEAR(cr_start)-YEAR(C48))*12+MONTH(cr_start)-MONTH(C48))/3,0))*3),EDATE(C48,MAX(0,ROUNDUP(((YEAR(cr_start)-YEAR(C48))*12+MONTH(cr_start)-MONTH(C48))/3,0))*3+3)),C48))))))</f>
        <v/>
      </c>
      <c r="G48" s="33" t="str">
        <f>IF(AND(B48="",C48="",D48=""),"",IF(D48="","No amount yet: not counted",IF(C48="","No date yet: not counted",IF(F48&lt;cr_start,"Date has passed: not counted",IF(F48&gt;cr_last,"After the 90 days","Counted")))))</f>
        <v/>
      </c>
    </row>
    <row r="49" spans="2:7" s="1" customFormat="1">
      <c r="B49" s="25"/>
      <c r="C49" s="26"/>
      <c r="D49" s="27"/>
      <c r="E49" s="25"/>
      <c r="F49" s="32" t="str">
        <f>IF(OR(D49="",C49=""),"",IF(E49="Every day",MAX(C49,cr_start),IF(E49="Weekly",C49+MAX(0,ROUNDUP((cr_start-C49)/7,0))*7,IF(E49="Every 2 weeks",C49+MAX(0,ROUNDUP((cr_start-C49)/14,0))*14,IF(E49="Monthly",IF(EDATE(C49,MAX(0,(YEAR(cr_start)-YEAR(C49))*12+MONTH(cr_start)-MONTH(C49)))&gt;=cr_start,EDATE(C49,MAX(0,(YEAR(cr_start)-YEAR(C49))*12+MONTH(cr_start)-MONTH(C49))),EDATE(C49,MAX(0,(YEAR(cr_start)-YEAR(C49))*12+MONTH(cr_start)-MONTH(C49))+1)),IF(E49="Quarterly",IF(EDATE(C49,MAX(0,ROUNDUP(((YEAR(cr_start)-YEAR(C49))*12+MONTH(cr_start)-MONTH(C49))/3,0))*3)&gt;=cr_start,EDATE(C49,MAX(0,ROUNDUP(((YEAR(cr_start)-YEAR(C49))*12+MONTH(cr_start)-MONTH(C49))/3,0))*3),EDATE(C49,MAX(0,ROUNDUP(((YEAR(cr_start)-YEAR(C49))*12+MONTH(cr_start)-MONTH(C49))/3,0))*3+3)),C49))))))</f>
        <v/>
      </c>
      <c r="G49" s="33" t="str">
        <f>IF(AND(B49="",C49="",D49=""),"",IF(D49="","No amount yet: not counted",IF(C49="","No date yet: not counted",IF(F49&lt;cr_start,"Date has passed: not counted",IF(F49&gt;cr_last,"After the 90 days","Counted")))))</f>
        <v/>
      </c>
    </row>
    <row r="50" spans="2:7" s="1" customFormat="1">
      <c r="B50" s="25"/>
      <c r="C50" s="26"/>
      <c r="D50" s="27"/>
      <c r="E50" s="25"/>
      <c r="F50" s="32" t="str">
        <f>IF(OR(D50="",C50=""),"",IF(E50="Every day",MAX(C50,cr_start),IF(E50="Weekly",C50+MAX(0,ROUNDUP((cr_start-C50)/7,0))*7,IF(E50="Every 2 weeks",C50+MAX(0,ROUNDUP((cr_start-C50)/14,0))*14,IF(E50="Monthly",IF(EDATE(C50,MAX(0,(YEAR(cr_start)-YEAR(C50))*12+MONTH(cr_start)-MONTH(C50)))&gt;=cr_start,EDATE(C50,MAX(0,(YEAR(cr_start)-YEAR(C50))*12+MONTH(cr_start)-MONTH(C50))),EDATE(C50,MAX(0,(YEAR(cr_start)-YEAR(C50))*12+MONTH(cr_start)-MONTH(C50))+1)),IF(E50="Quarterly",IF(EDATE(C50,MAX(0,ROUNDUP(((YEAR(cr_start)-YEAR(C50))*12+MONTH(cr_start)-MONTH(C50))/3,0))*3)&gt;=cr_start,EDATE(C50,MAX(0,ROUNDUP(((YEAR(cr_start)-YEAR(C50))*12+MONTH(cr_start)-MONTH(C50))/3,0))*3),EDATE(C50,MAX(0,ROUNDUP(((YEAR(cr_start)-YEAR(C50))*12+MONTH(cr_start)-MONTH(C50))/3,0))*3+3)),C50))))))</f>
        <v/>
      </c>
      <c r="G50" s="33" t="str">
        <f>IF(AND(B50="",C50="",D50=""),"",IF(D50="","No amount yet: not counted",IF(C50="","No date yet: not counted",IF(F50&lt;cr_start,"Date has passed: not counted",IF(F50&gt;cr_last,"After the 90 days","Counted")))))</f>
        <v/>
      </c>
    </row>
    <row r="51" spans="2:7" s="1" customFormat="1">
      <c r="B51" s="25"/>
      <c r="C51" s="26"/>
      <c r="D51" s="27"/>
      <c r="E51" s="25"/>
      <c r="F51" s="32" t="str">
        <f>IF(OR(D51="",C51=""),"",IF(E51="Every day",MAX(C51,cr_start),IF(E51="Weekly",C51+MAX(0,ROUNDUP((cr_start-C51)/7,0))*7,IF(E51="Every 2 weeks",C51+MAX(0,ROUNDUP((cr_start-C51)/14,0))*14,IF(E51="Monthly",IF(EDATE(C51,MAX(0,(YEAR(cr_start)-YEAR(C51))*12+MONTH(cr_start)-MONTH(C51)))&gt;=cr_start,EDATE(C51,MAX(0,(YEAR(cr_start)-YEAR(C51))*12+MONTH(cr_start)-MONTH(C51))),EDATE(C51,MAX(0,(YEAR(cr_start)-YEAR(C51))*12+MONTH(cr_start)-MONTH(C51))+1)),IF(E51="Quarterly",IF(EDATE(C51,MAX(0,ROUNDUP(((YEAR(cr_start)-YEAR(C51))*12+MONTH(cr_start)-MONTH(C51))/3,0))*3)&gt;=cr_start,EDATE(C51,MAX(0,ROUNDUP(((YEAR(cr_start)-YEAR(C51))*12+MONTH(cr_start)-MONTH(C51))/3,0))*3),EDATE(C51,MAX(0,ROUNDUP(((YEAR(cr_start)-YEAR(C51))*12+MONTH(cr_start)-MONTH(C51))/3,0))*3+3)),C51))))))</f>
        <v/>
      </c>
      <c r="G51" s="33" t="str">
        <f>IF(AND(B51="",C51="",D51=""),"",IF(D51="","No amount yet: not counted",IF(C51="","No date yet: not counted",IF(F51&lt;cr_start,"Date has passed: not counted",IF(F51&gt;cr_last,"After the 90 days","Counted")))))</f>
        <v/>
      </c>
    </row>
    <row r="52" spans="2:7" s="1" customFormat="1">
      <c r="B52" s="25"/>
      <c r="C52" s="26"/>
      <c r="D52" s="27"/>
      <c r="E52" s="25"/>
      <c r="F52" s="32" t="str">
        <f>IF(OR(D52="",C52=""),"",IF(E52="Every day",MAX(C52,cr_start),IF(E52="Weekly",C52+MAX(0,ROUNDUP((cr_start-C52)/7,0))*7,IF(E52="Every 2 weeks",C52+MAX(0,ROUNDUP((cr_start-C52)/14,0))*14,IF(E52="Monthly",IF(EDATE(C52,MAX(0,(YEAR(cr_start)-YEAR(C52))*12+MONTH(cr_start)-MONTH(C52)))&gt;=cr_start,EDATE(C52,MAX(0,(YEAR(cr_start)-YEAR(C52))*12+MONTH(cr_start)-MONTH(C52))),EDATE(C52,MAX(0,(YEAR(cr_start)-YEAR(C52))*12+MONTH(cr_start)-MONTH(C52))+1)),IF(E52="Quarterly",IF(EDATE(C52,MAX(0,ROUNDUP(((YEAR(cr_start)-YEAR(C52))*12+MONTH(cr_start)-MONTH(C52))/3,0))*3)&gt;=cr_start,EDATE(C52,MAX(0,ROUNDUP(((YEAR(cr_start)-YEAR(C52))*12+MONTH(cr_start)-MONTH(C52))/3,0))*3),EDATE(C52,MAX(0,ROUNDUP(((YEAR(cr_start)-YEAR(C52))*12+MONTH(cr_start)-MONTH(C52))/3,0))*3+3)),C52))))))</f>
        <v/>
      </c>
      <c r="G52" s="33" t="str">
        <f>IF(AND(B52="",C52="",D52=""),"",IF(D52="","No amount yet: not counted",IF(C52="","No date yet: not counted",IF(F52&lt;cr_start,"Date has passed: not counted",IF(F52&gt;cr_last,"After the 90 days","Counted")))))</f>
        <v/>
      </c>
    </row>
    <row r="53" spans="2:7" s="1" customFormat="1">
      <c r="B53" s="25"/>
      <c r="C53" s="26"/>
      <c r="D53" s="27"/>
      <c r="E53" s="25"/>
      <c r="F53" s="32" t="str">
        <f>IF(OR(D53="",C53=""),"",IF(E53="Every day",MAX(C53,cr_start),IF(E53="Weekly",C53+MAX(0,ROUNDUP((cr_start-C53)/7,0))*7,IF(E53="Every 2 weeks",C53+MAX(0,ROUNDUP((cr_start-C53)/14,0))*14,IF(E53="Monthly",IF(EDATE(C53,MAX(0,(YEAR(cr_start)-YEAR(C53))*12+MONTH(cr_start)-MONTH(C53)))&gt;=cr_start,EDATE(C53,MAX(0,(YEAR(cr_start)-YEAR(C53))*12+MONTH(cr_start)-MONTH(C53))),EDATE(C53,MAX(0,(YEAR(cr_start)-YEAR(C53))*12+MONTH(cr_start)-MONTH(C53))+1)),IF(E53="Quarterly",IF(EDATE(C53,MAX(0,ROUNDUP(((YEAR(cr_start)-YEAR(C53))*12+MONTH(cr_start)-MONTH(C53))/3,0))*3)&gt;=cr_start,EDATE(C53,MAX(0,ROUNDUP(((YEAR(cr_start)-YEAR(C53))*12+MONTH(cr_start)-MONTH(C53))/3,0))*3),EDATE(C53,MAX(0,ROUNDUP(((YEAR(cr_start)-YEAR(C53))*12+MONTH(cr_start)-MONTH(C53))/3,0))*3+3)),C53))))))</f>
        <v/>
      </c>
      <c r="G53" s="33" t="str">
        <f>IF(AND(B53="",C53="",D53=""),"",IF(D53="","No amount yet: not counted",IF(C53="","No date yet: not counted",IF(F53&lt;cr_start,"Date has passed: not counted",IF(F53&gt;cr_last,"After the 90 days","Counted")))))</f>
        <v/>
      </c>
    </row>
    <row r="54" spans="2:7" s="1" customFormat="1">
      <c r="B54" s="25"/>
      <c r="C54" s="26"/>
      <c r="D54" s="27"/>
      <c r="E54" s="25"/>
      <c r="F54" s="32" t="str">
        <f>IF(OR(D54="",C54=""),"",IF(E54="Every day",MAX(C54,cr_start),IF(E54="Weekly",C54+MAX(0,ROUNDUP((cr_start-C54)/7,0))*7,IF(E54="Every 2 weeks",C54+MAX(0,ROUNDUP((cr_start-C54)/14,0))*14,IF(E54="Monthly",IF(EDATE(C54,MAX(0,(YEAR(cr_start)-YEAR(C54))*12+MONTH(cr_start)-MONTH(C54)))&gt;=cr_start,EDATE(C54,MAX(0,(YEAR(cr_start)-YEAR(C54))*12+MONTH(cr_start)-MONTH(C54))),EDATE(C54,MAX(0,(YEAR(cr_start)-YEAR(C54))*12+MONTH(cr_start)-MONTH(C54))+1)),IF(E54="Quarterly",IF(EDATE(C54,MAX(0,ROUNDUP(((YEAR(cr_start)-YEAR(C54))*12+MONTH(cr_start)-MONTH(C54))/3,0))*3)&gt;=cr_start,EDATE(C54,MAX(0,ROUNDUP(((YEAR(cr_start)-YEAR(C54))*12+MONTH(cr_start)-MONTH(C54))/3,0))*3),EDATE(C54,MAX(0,ROUNDUP(((YEAR(cr_start)-YEAR(C54))*12+MONTH(cr_start)-MONTH(C54))/3,0))*3+3)),C54))))))</f>
        <v/>
      </c>
      <c r="G54" s="33" t="str">
        <f>IF(AND(B54="",C54="",D54=""),"",IF(D54="","No amount yet: not counted",IF(C54="","No date yet: not counted",IF(F54&lt;cr_start,"Date has passed: not counted",IF(F54&gt;cr_last,"After the 90 days","Counted")))))</f>
        <v/>
      </c>
    </row>
    <row r="55" spans="2:7" s="1" customFormat="1">
      <c r="B55" s="25"/>
      <c r="C55" s="26"/>
      <c r="D55" s="27"/>
      <c r="E55" s="25"/>
      <c r="F55" s="32" t="str">
        <f>IF(OR(D55="",C55=""),"",IF(E55="Every day",MAX(C55,cr_start),IF(E55="Weekly",C55+MAX(0,ROUNDUP((cr_start-C55)/7,0))*7,IF(E55="Every 2 weeks",C55+MAX(0,ROUNDUP((cr_start-C55)/14,0))*14,IF(E55="Monthly",IF(EDATE(C55,MAX(0,(YEAR(cr_start)-YEAR(C55))*12+MONTH(cr_start)-MONTH(C55)))&gt;=cr_start,EDATE(C55,MAX(0,(YEAR(cr_start)-YEAR(C55))*12+MONTH(cr_start)-MONTH(C55))),EDATE(C55,MAX(0,(YEAR(cr_start)-YEAR(C55))*12+MONTH(cr_start)-MONTH(C55))+1)),IF(E55="Quarterly",IF(EDATE(C55,MAX(0,ROUNDUP(((YEAR(cr_start)-YEAR(C55))*12+MONTH(cr_start)-MONTH(C55))/3,0))*3)&gt;=cr_start,EDATE(C55,MAX(0,ROUNDUP(((YEAR(cr_start)-YEAR(C55))*12+MONTH(cr_start)-MONTH(C55))/3,0))*3),EDATE(C55,MAX(0,ROUNDUP(((YEAR(cr_start)-YEAR(C55))*12+MONTH(cr_start)-MONTH(C55))/3,0))*3+3)),C55))))))</f>
        <v/>
      </c>
      <c r="G55" s="33" t="str">
        <f>IF(AND(B55="",C55="",D55=""),"",IF(D55="","No amount yet: not counted",IF(C55="","No date yet: not counted",IF(F55&lt;cr_start,"Date has passed: not counted",IF(F55&gt;cr_last,"After the 90 days","Counted")))))</f>
        <v/>
      </c>
    </row>
    <row r="56" spans="2:7" s="1" customFormat="1">
      <c r="B56" s="25"/>
      <c r="C56" s="26"/>
      <c r="D56" s="27"/>
      <c r="E56" s="25"/>
      <c r="F56" s="32" t="str">
        <f>IF(OR(D56="",C56=""),"",IF(E56="Every day",MAX(C56,cr_start),IF(E56="Weekly",C56+MAX(0,ROUNDUP((cr_start-C56)/7,0))*7,IF(E56="Every 2 weeks",C56+MAX(0,ROUNDUP((cr_start-C56)/14,0))*14,IF(E56="Monthly",IF(EDATE(C56,MAX(0,(YEAR(cr_start)-YEAR(C56))*12+MONTH(cr_start)-MONTH(C56)))&gt;=cr_start,EDATE(C56,MAX(0,(YEAR(cr_start)-YEAR(C56))*12+MONTH(cr_start)-MONTH(C56))),EDATE(C56,MAX(0,(YEAR(cr_start)-YEAR(C56))*12+MONTH(cr_start)-MONTH(C56))+1)),IF(E56="Quarterly",IF(EDATE(C56,MAX(0,ROUNDUP(((YEAR(cr_start)-YEAR(C56))*12+MONTH(cr_start)-MONTH(C56))/3,0))*3)&gt;=cr_start,EDATE(C56,MAX(0,ROUNDUP(((YEAR(cr_start)-YEAR(C56))*12+MONTH(cr_start)-MONTH(C56))/3,0))*3),EDATE(C56,MAX(0,ROUNDUP(((YEAR(cr_start)-YEAR(C56))*12+MONTH(cr_start)-MONTH(C56))/3,0))*3+3)),C56))))))</f>
        <v/>
      </c>
      <c r="G56" s="33" t="str">
        <f>IF(AND(B56="",C56="",D56=""),"",IF(D56="","No amount yet: not counted",IF(C56="","No date yet: not counted",IF(F56&lt;cr_start,"Date has passed: not counted",IF(F56&gt;cr_last,"After the 90 days","Counted")))))</f>
        <v/>
      </c>
    </row>
    <row r="57" spans="2:7" s="1" customFormat="1">
      <c r="B57" s="25"/>
      <c r="C57" s="26"/>
      <c r="D57" s="27"/>
      <c r="E57" s="25"/>
      <c r="F57" s="32" t="str">
        <f>IF(OR(D57="",C57=""),"",IF(E57="Every day",MAX(C57,cr_start),IF(E57="Weekly",C57+MAX(0,ROUNDUP((cr_start-C57)/7,0))*7,IF(E57="Every 2 weeks",C57+MAX(0,ROUNDUP((cr_start-C57)/14,0))*14,IF(E57="Monthly",IF(EDATE(C57,MAX(0,(YEAR(cr_start)-YEAR(C57))*12+MONTH(cr_start)-MONTH(C57)))&gt;=cr_start,EDATE(C57,MAX(0,(YEAR(cr_start)-YEAR(C57))*12+MONTH(cr_start)-MONTH(C57))),EDATE(C57,MAX(0,(YEAR(cr_start)-YEAR(C57))*12+MONTH(cr_start)-MONTH(C57))+1)),IF(E57="Quarterly",IF(EDATE(C57,MAX(0,ROUNDUP(((YEAR(cr_start)-YEAR(C57))*12+MONTH(cr_start)-MONTH(C57))/3,0))*3)&gt;=cr_start,EDATE(C57,MAX(0,ROUNDUP(((YEAR(cr_start)-YEAR(C57))*12+MONTH(cr_start)-MONTH(C57))/3,0))*3),EDATE(C57,MAX(0,ROUNDUP(((YEAR(cr_start)-YEAR(C57))*12+MONTH(cr_start)-MONTH(C57))/3,0))*3+3)),C57))))))</f>
        <v/>
      </c>
      <c r="G57" s="33" t="str">
        <f>IF(AND(B57="",C57="",D57=""),"",IF(D57="","No amount yet: not counted",IF(C57="","No date yet: not counted",IF(F57&lt;cr_start,"Date has passed: not counted",IF(F57&gt;cr_last,"After the 90 days","Counted")))))</f>
        <v/>
      </c>
    </row>
    <row r="58" spans="2:7" s="1" customFormat="1">
      <c r="B58" s="25"/>
      <c r="C58" s="26"/>
      <c r="D58" s="27"/>
      <c r="E58" s="25"/>
      <c r="F58" s="32" t="str">
        <f>IF(OR(D58="",C58=""),"",IF(E58="Every day",MAX(C58,cr_start),IF(E58="Weekly",C58+MAX(0,ROUNDUP((cr_start-C58)/7,0))*7,IF(E58="Every 2 weeks",C58+MAX(0,ROUNDUP((cr_start-C58)/14,0))*14,IF(E58="Monthly",IF(EDATE(C58,MAX(0,(YEAR(cr_start)-YEAR(C58))*12+MONTH(cr_start)-MONTH(C58)))&gt;=cr_start,EDATE(C58,MAX(0,(YEAR(cr_start)-YEAR(C58))*12+MONTH(cr_start)-MONTH(C58))),EDATE(C58,MAX(0,(YEAR(cr_start)-YEAR(C58))*12+MONTH(cr_start)-MONTH(C58))+1)),IF(E58="Quarterly",IF(EDATE(C58,MAX(0,ROUNDUP(((YEAR(cr_start)-YEAR(C58))*12+MONTH(cr_start)-MONTH(C58))/3,0))*3)&gt;=cr_start,EDATE(C58,MAX(0,ROUNDUP(((YEAR(cr_start)-YEAR(C58))*12+MONTH(cr_start)-MONTH(C58))/3,0))*3),EDATE(C58,MAX(0,ROUNDUP(((YEAR(cr_start)-YEAR(C58))*12+MONTH(cr_start)-MONTH(C58))/3,0))*3+3)),C58))))))</f>
        <v/>
      </c>
      <c r="G58" s="33" t="str">
        <f>IF(AND(B58="",C58="",D58=""),"",IF(D58="","No amount yet: not counted",IF(C58="","No date yet: not counted",IF(F58&lt;cr_start,"Date has passed: not counted",IF(F58&gt;cr_last,"After the 90 days","Counted")))))</f>
        <v/>
      </c>
    </row>
    <row r="59" spans="2:7" s="1" customFormat="1">
      <c r="B59" s="25"/>
      <c r="C59" s="26"/>
      <c r="D59" s="27"/>
      <c r="E59" s="25"/>
      <c r="F59" s="32" t="str">
        <f>IF(OR(D59="",C59=""),"",IF(E59="Every day",MAX(C59,cr_start),IF(E59="Weekly",C59+MAX(0,ROUNDUP((cr_start-C59)/7,0))*7,IF(E59="Every 2 weeks",C59+MAX(0,ROUNDUP((cr_start-C59)/14,0))*14,IF(E59="Monthly",IF(EDATE(C59,MAX(0,(YEAR(cr_start)-YEAR(C59))*12+MONTH(cr_start)-MONTH(C59)))&gt;=cr_start,EDATE(C59,MAX(0,(YEAR(cr_start)-YEAR(C59))*12+MONTH(cr_start)-MONTH(C59))),EDATE(C59,MAX(0,(YEAR(cr_start)-YEAR(C59))*12+MONTH(cr_start)-MONTH(C59))+1)),IF(E59="Quarterly",IF(EDATE(C59,MAX(0,ROUNDUP(((YEAR(cr_start)-YEAR(C59))*12+MONTH(cr_start)-MONTH(C59))/3,0))*3)&gt;=cr_start,EDATE(C59,MAX(0,ROUNDUP(((YEAR(cr_start)-YEAR(C59))*12+MONTH(cr_start)-MONTH(C59))/3,0))*3),EDATE(C59,MAX(0,ROUNDUP(((YEAR(cr_start)-YEAR(C59))*12+MONTH(cr_start)-MONTH(C59))/3,0))*3+3)),C59))))))</f>
        <v/>
      </c>
      <c r="G59" s="33" t="str">
        <f>IF(AND(B59="",C59="",D59=""),"",IF(D59="","No amount yet: not counted",IF(C59="","No date yet: not counted",IF(F59&lt;cr_start,"Date has passed: not counted",IF(F59&gt;cr_last,"After the 90 days","Counted")))))</f>
        <v/>
      </c>
    </row>
    <row r="60" spans="2:7" s="1" customFormat="1">
      <c r="B60" s="25"/>
      <c r="C60" s="26"/>
      <c r="D60" s="27"/>
      <c r="E60" s="25"/>
      <c r="F60" s="32" t="str">
        <f>IF(OR(D60="",C60=""),"",IF(E60="Every day",MAX(C60,cr_start),IF(E60="Weekly",C60+MAX(0,ROUNDUP((cr_start-C60)/7,0))*7,IF(E60="Every 2 weeks",C60+MAX(0,ROUNDUP((cr_start-C60)/14,0))*14,IF(E60="Monthly",IF(EDATE(C60,MAX(0,(YEAR(cr_start)-YEAR(C60))*12+MONTH(cr_start)-MONTH(C60)))&gt;=cr_start,EDATE(C60,MAX(0,(YEAR(cr_start)-YEAR(C60))*12+MONTH(cr_start)-MONTH(C60))),EDATE(C60,MAX(0,(YEAR(cr_start)-YEAR(C60))*12+MONTH(cr_start)-MONTH(C60))+1)),IF(E60="Quarterly",IF(EDATE(C60,MAX(0,ROUNDUP(((YEAR(cr_start)-YEAR(C60))*12+MONTH(cr_start)-MONTH(C60))/3,0))*3)&gt;=cr_start,EDATE(C60,MAX(0,ROUNDUP(((YEAR(cr_start)-YEAR(C60))*12+MONTH(cr_start)-MONTH(C60))/3,0))*3),EDATE(C60,MAX(0,ROUNDUP(((YEAR(cr_start)-YEAR(C60))*12+MONTH(cr_start)-MONTH(C60))/3,0))*3+3)),C60))))))</f>
        <v/>
      </c>
      <c r="G60" s="33" t="str">
        <f>IF(AND(B60="",C60="",D60=""),"",IF(D60="","No amount yet: not counted",IF(C60="","No date yet: not counted",IF(F60&lt;cr_start,"Date has passed: not counted",IF(F60&gt;cr_last,"After the 90 days","Counted")))))</f>
        <v/>
      </c>
    </row>
    <row r="61" spans="2:7" s="1" customFormat="1">
      <c r="B61" s="25"/>
      <c r="C61" s="26"/>
      <c r="D61" s="27"/>
      <c r="E61" s="25"/>
      <c r="F61" s="32" t="str">
        <f>IF(OR(D61="",C61=""),"",IF(E61="Every day",MAX(C61,cr_start),IF(E61="Weekly",C61+MAX(0,ROUNDUP((cr_start-C61)/7,0))*7,IF(E61="Every 2 weeks",C61+MAX(0,ROUNDUP((cr_start-C61)/14,0))*14,IF(E61="Monthly",IF(EDATE(C61,MAX(0,(YEAR(cr_start)-YEAR(C61))*12+MONTH(cr_start)-MONTH(C61)))&gt;=cr_start,EDATE(C61,MAX(0,(YEAR(cr_start)-YEAR(C61))*12+MONTH(cr_start)-MONTH(C61))),EDATE(C61,MAX(0,(YEAR(cr_start)-YEAR(C61))*12+MONTH(cr_start)-MONTH(C61))+1)),IF(E61="Quarterly",IF(EDATE(C61,MAX(0,ROUNDUP(((YEAR(cr_start)-YEAR(C61))*12+MONTH(cr_start)-MONTH(C61))/3,0))*3)&gt;=cr_start,EDATE(C61,MAX(0,ROUNDUP(((YEAR(cr_start)-YEAR(C61))*12+MONTH(cr_start)-MONTH(C61))/3,0))*3),EDATE(C61,MAX(0,ROUNDUP(((YEAR(cr_start)-YEAR(C61))*12+MONTH(cr_start)-MONTH(C61))/3,0))*3+3)),C61))))))</f>
        <v/>
      </c>
      <c r="G61" s="33" t="str">
        <f>IF(AND(B61="",C61="",D61=""),"",IF(D61="","No amount yet: not counted",IF(C61="","No date yet: not counted",IF(F61&lt;cr_start,"Date has passed: not counted",IF(F61&gt;cr_last,"After the 90 days","Counted")))))</f>
        <v/>
      </c>
    </row>
    <row r="62" spans="2:7" s="1" customFormat="1">
      <c r="B62" s="25"/>
      <c r="C62" s="26"/>
      <c r="D62" s="27"/>
      <c r="E62" s="25"/>
      <c r="F62" s="32" t="str">
        <f>IF(OR(D62="",C62=""),"",IF(E62="Every day",MAX(C62,cr_start),IF(E62="Weekly",C62+MAX(0,ROUNDUP((cr_start-C62)/7,0))*7,IF(E62="Every 2 weeks",C62+MAX(0,ROUNDUP((cr_start-C62)/14,0))*14,IF(E62="Monthly",IF(EDATE(C62,MAX(0,(YEAR(cr_start)-YEAR(C62))*12+MONTH(cr_start)-MONTH(C62)))&gt;=cr_start,EDATE(C62,MAX(0,(YEAR(cr_start)-YEAR(C62))*12+MONTH(cr_start)-MONTH(C62))),EDATE(C62,MAX(0,(YEAR(cr_start)-YEAR(C62))*12+MONTH(cr_start)-MONTH(C62))+1)),IF(E62="Quarterly",IF(EDATE(C62,MAX(0,ROUNDUP(((YEAR(cr_start)-YEAR(C62))*12+MONTH(cr_start)-MONTH(C62))/3,0))*3)&gt;=cr_start,EDATE(C62,MAX(0,ROUNDUP(((YEAR(cr_start)-YEAR(C62))*12+MONTH(cr_start)-MONTH(C62))/3,0))*3),EDATE(C62,MAX(0,ROUNDUP(((YEAR(cr_start)-YEAR(C62))*12+MONTH(cr_start)-MONTH(C62))/3,0))*3+3)),C62))))))</f>
        <v/>
      </c>
      <c r="G62" s="33" t="str">
        <f>IF(AND(B62="",C62="",D62=""),"",IF(D62="","No amount yet: not counted",IF(C62="","No date yet: not counted",IF(F62&lt;cr_start,"Date has passed: not counted",IF(F62&gt;cr_last,"After the 90 days","Counted")))))</f>
        <v/>
      </c>
    </row>
    <row r="63" spans="2:7" s="1" customFormat="1">
      <c r="B63" s="25"/>
      <c r="C63" s="26"/>
      <c r="D63" s="27"/>
      <c r="E63" s="25"/>
      <c r="F63" s="32" t="str">
        <f>IF(OR(D63="",C63=""),"",IF(E63="Every day",MAX(C63,cr_start),IF(E63="Weekly",C63+MAX(0,ROUNDUP((cr_start-C63)/7,0))*7,IF(E63="Every 2 weeks",C63+MAX(0,ROUNDUP((cr_start-C63)/14,0))*14,IF(E63="Monthly",IF(EDATE(C63,MAX(0,(YEAR(cr_start)-YEAR(C63))*12+MONTH(cr_start)-MONTH(C63)))&gt;=cr_start,EDATE(C63,MAX(0,(YEAR(cr_start)-YEAR(C63))*12+MONTH(cr_start)-MONTH(C63))),EDATE(C63,MAX(0,(YEAR(cr_start)-YEAR(C63))*12+MONTH(cr_start)-MONTH(C63))+1)),IF(E63="Quarterly",IF(EDATE(C63,MAX(0,ROUNDUP(((YEAR(cr_start)-YEAR(C63))*12+MONTH(cr_start)-MONTH(C63))/3,0))*3)&gt;=cr_start,EDATE(C63,MAX(0,ROUNDUP(((YEAR(cr_start)-YEAR(C63))*12+MONTH(cr_start)-MONTH(C63))/3,0))*3),EDATE(C63,MAX(0,ROUNDUP(((YEAR(cr_start)-YEAR(C63))*12+MONTH(cr_start)-MONTH(C63))/3,0))*3+3)),C63))))))</f>
        <v/>
      </c>
      <c r="G63" s="33" t="str">
        <f>IF(AND(B63="",C63="",D63=""),"",IF(D63="","No amount yet: not counted",IF(C63="","No date yet: not counted",IF(F63&lt;cr_start,"Date has passed: not counted",IF(F63&gt;cr_last,"After the 90 days","Counted")))))</f>
        <v/>
      </c>
    </row>
    <row r="64" spans="2:7" s="1" customFormat="1">
      <c r="B64" s="25"/>
      <c r="C64" s="26"/>
      <c r="D64" s="27"/>
      <c r="E64" s="25"/>
      <c r="F64" s="32" t="str">
        <f>IF(OR(D64="",C64=""),"",IF(E64="Every day",MAX(C64,cr_start),IF(E64="Weekly",C64+MAX(0,ROUNDUP((cr_start-C64)/7,0))*7,IF(E64="Every 2 weeks",C64+MAX(0,ROUNDUP((cr_start-C64)/14,0))*14,IF(E64="Monthly",IF(EDATE(C64,MAX(0,(YEAR(cr_start)-YEAR(C64))*12+MONTH(cr_start)-MONTH(C64)))&gt;=cr_start,EDATE(C64,MAX(0,(YEAR(cr_start)-YEAR(C64))*12+MONTH(cr_start)-MONTH(C64))),EDATE(C64,MAX(0,(YEAR(cr_start)-YEAR(C64))*12+MONTH(cr_start)-MONTH(C64))+1)),IF(E64="Quarterly",IF(EDATE(C64,MAX(0,ROUNDUP(((YEAR(cr_start)-YEAR(C64))*12+MONTH(cr_start)-MONTH(C64))/3,0))*3)&gt;=cr_start,EDATE(C64,MAX(0,ROUNDUP(((YEAR(cr_start)-YEAR(C64))*12+MONTH(cr_start)-MONTH(C64))/3,0))*3),EDATE(C64,MAX(0,ROUNDUP(((YEAR(cr_start)-YEAR(C64))*12+MONTH(cr_start)-MONTH(C64))/3,0))*3+3)),C64))))))</f>
        <v/>
      </c>
      <c r="G64" s="33" t="str">
        <f>IF(AND(B64="",C64="",D64=""),"",IF(D64="","No amount yet: not counted",IF(C64="","No date yet: not counted",IF(F64&lt;cr_start,"Date has passed: not counted",IF(F64&gt;cr_last,"After the 90 days","Counted")))))</f>
        <v/>
      </c>
    </row>
    <row r="65" spans="2:7" s="1" customFormat="1">
      <c r="B65" s="25"/>
      <c r="C65" s="26"/>
      <c r="D65" s="27"/>
      <c r="E65" s="25"/>
      <c r="F65" s="32" t="str">
        <f>IF(OR(D65="",C65=""),"",IF(E65="Every day",MAX(C65,cr_start),IF(E65="Weekly",C65+MAX(0,ROUNDUP((cr_start-C65)/7,0))*7,IF(E65="Every 2 weeks",C65+MAX(0,ROUNDUP((cr_start-C65)/14,0))*14,IF(E65="Monthly",IF(EDATE(C65,MAX(0,(YEAR(cr_start)-YEAR(C65))*12+MONTH(cr_start)-MONTH(C65)))&gt;=cr_start,EDATE(C65,MAX(0,(YEAR(cr_start)-YEAR(C65))*12+MONTH(cr_start)-MONTH(C65))),EDATE(C65,MAX(0,(YEAR(cr_start)-YEAR(C65))*12+MONTH(cr_start)-MONTH(C65))+1)),IF(E65="Quarterly",IF(EDATE(C65,MAX(0,ROUNDUP(((YEAR(cr_start)-YEAR(C65))*12+MONTH(cr_start)-MONTH(C65))/3,0))*3)&gt;=cr_start,EDATE(C65,MAX(0,ROUNDUP(((YEAR(cr_start)-YEAR(C65))*12+MONTH(cr_start)-MONTH(C65))/3,0))*3),EDATE(C65,MAX(0,ROUNDUP(((YEAR(cr_start)-YEAR(C65))*12+MONTH(cr_start)-MONTH(C65))/3,0))*3+3)),C65))))))</f>
        <v/>
      </c>
      <c r="G65" s="33" t="str">
        <f>IF(AND(B65="",C65="",D65=""),"",IF(D65="","No amount yet: not counted",IF(C65="","No date yet: not counted",IF(F65&lt;cr_start,"Date has passed: not counted",IF(F65&gt;cr_last,"After the 90 days","Counted")))))</f>
        <v/>
      </c>
    </row>
    <row r="66" spans="2:7" s="1" customFormat="1">
      <c r="B66" s="25"/>
      <c r="C66" s="26"/>
      <c r="D66" s="27"/>
      <c r="E66" s="25"/>
      <c r="F66" s="32" t="str">
        <f>IF(OR(D66="",C66=""),"",IF(E66="Every day",MAX(C66,cr_start),IF(E66="Weekly",C66+MAX(0,ROUNDUP((cr_start-C66)/7,0))*7,IF(E66="Every 2 weeks",C66+MAX(0,ROUNDUP((cr_start-C66)/14,0))*14,IF(E66="Monthly",IF(EDATE(C66,MAX(0,(YEAR(cr_start)-YEAR(C66))*12+MONTH(cr_start)-MONTH(C66)))&gt;=cr_start,EDATE(C66,MAX(0,(YEAR(cr_start)-YEAR(C66))*12+MONTH(cr_start)-MONTH(C66))),EDATE(C66,MAX(0,(YEAR(cr_start)-YEAR(C66))*12+MONTH(cr_start)-MONTH(C66))+1)),IF(E66="Quarterly",IF(EDATE(C66,MAX(0,ROUNDUP(((YEAR(cr_start)-YEAR(C66))*12+MONTH(cr_start)-MONTH(C66))/3,0))*3)&gt;=cr_start,EDATE(C66,MAX(0,ROUNDUP(((YEAR(cr_start)-YEAR(C66))*12+MONTH(cr_start)-MONTH(C66))/3,0))*3),EDATE(C66,MAX(0,ROUNDUP(((YEAR(cr_start)-YEAR(C66))*12+MONTH(cr_start)-MONTH(C66))/3,0))*3+3)),C66))))))</f>
        <v/>
      </c>
      <c r="G66" s="33" t="str">
        <f>IF(AND(B66="",C66="",D66=""),"",IF(D66="","No amount yet: not counted",IF(C66="","No date yet: not counted",IF(F66&lt;cr_start,"Date has passed: not counted",IF(F66&gt;cr_last,"After the 90 days","Counted")))))</f>
        <v/>
      </c>
    </row>
    <row r="67" spans="2:7" s="1" customFormat="1">
      <c r="B67" s="25"/>
      <c r="C67" s="26"/>
      <c r="D67" s="27"/>
      <c r="E67" s="25"/>
      <c r="F67" s="32" t="str">
        <f>IF(OR(D67="",C67=""),"",IF(E67="Every day",MAX(C67,cr_start),IF(E67="Weekly",C67+MAX(0,ROUNDUP((cr_start-C67)/7,0))*7,IF(E67="Every 2 weeks",C67+MAX(0,ROUNDUP((cr_start-C67)/14,0))*14,IF(E67="Monthly",IF(EDATE(C67,MAX(0,(YEAR(cr_start)-YEAR(C67))*12+MONTH(cr_start)-MONTH(C67)))&gt;=cr_start,EDATE(C67,MAX(0,(YEAR(cr_start)-YEAR(C67))*12+MONTH(cr_start)-MONTH(C67))),EDATE(C67,MAX(0,(YEAR(cr_start)-YEAR(C67))*12+MONTH(cr_start)-MONTH(C67))+1)),IF(E67="Quarterly",IF(EDATE(C67,MAX(0,ROUNDUP(((YEAR(cr_start)-YEAR(C67))*12+MONTH(cr_start)-MONTH(C67))/3,0))*3)&gt;=cr_start,EDATE(C67,MAX(0,ROUNDUP(((YEAR(cr_start)-YEAR(C67))*12+MONTH(cr_start)-MONTH(C67))/3,0))*3),EDATE(C67,MAX(0,ROUNDUP(((YEAR(cr_start)-YEAR(C67))*12+MONTH(cr_start)-MONTH(C67))/3,0))*3+3)),C67))))))</f>
        <v/>
      </c>
      <c r="G67" s="33" t="str">
        <f>IF(AND(B67="",C67="",D67=""),"",IF(D67="","No amount yet: not counted",IF(C67="","No date yet: not counted",IF(F67&lt;cr_start,"Date has passed: not counted",IF(F67&gt;cr_last,"After the 90 days","Counted")))))</f>
        <v/>
      </c>
    </row>
    <row r="68" spans="2:7" s="1" customFormat="1">
      <c r="B68" s="25"/>
      <c r="C68" s="26"/>
      <c r="D68" s="27"/>
      <c r="E68" s="25"/>
      <c r="F68" s="32" t="str">
        <f>IF(OR(D68="",C68=""),"",IF(E68="Every day",MAX(C68,cr_start),IF(E68="Weekly",C68+MAX(0,ROUNDUP((cr_start-C68)/7,0))*7,IF(E68="Every 2 weeks",C68+MAX(0,ROUNDUP((cr_start-C68)/14,0))*14,IF(E68="Monthly",IF(EDATE(C68,MAX(0,(YEAR(cr_start)-YEAR(C68))*12+MONTH(cr_start)-MONTH(C68)))&gt;=cr_start,EDATE(C68,MAX(0,(YEAR(cr_start)-YEAR(C68))*12+MONTH(cr_start)-MONTH(C68))),EDATE(C68,MAX(0,(YEAR(cr_start)-YEAR(C68))*12+MONTH(cr_start)-MONTH(C68))+1)),IF(E68="Quarterly",IF(EDATE(C68,MAX(0,ROUNDUP(((YEAR(cr_start)-YEAR(C68))*12+MONTH(cr_start)-MONTH(C68))/3,0))*3)&gt;=cr_start,EDATE(C68,MAX(0,ROUNDUP(((YEAR(cr_start)-YEAR(C68))*12+MONTH(cr_start)-MONTH(C68))/3,0))*3),EDATE(C68,MAX(0,ROUNDUP(((YEAR(cr_start)-YEAR(C68))*12+MONTH(cr_start)-MONTH(C68))/3,0))*3+3)),C68))))))</f>
        <v/>
      </c>
      <c r="G68" s="33" t="str">
        <f>IF(AND(B68="",C68="",D68=""),"",IF(D68="","No amount yet: not counted",IF(C68="","No date yet: not counted",IF(F68&lt;cr_start,"Date has passed: not counted",IF(F68&gt;cr_last,"After the 90 days","Counted")))))</f>
        <v/>
      </c>
    </row>
    <row r="69" spans="2:7" s="1" customFormat="1">
      <c r="B69" s="25"/>
      <c r="C69" s="26"/>
      <c r="D69" s="27"/>
      <c r="E69" s="25"/>
      <c r="F69" s="32" t="str">
        <f>IF(OR(D69="",C69=""),"",IF(E69="Every day",MAX(C69,cr_start),IF(E69="Weekly",C69+MAX(0,ROUNDUP((cr_start-C69)/7,0))*7,IF(E69="Every 2 weeks",C69+MAX(0,ROUNDUP((cr_start-C69)/14,0))*14,IF(E69="Monthly",IF(EDATE(C69,MAX(0,(YEAR(cr_start)-YEAR(C69))*12+MONTH(cr_start)-MONTH(C69)))&gt;=cr_start,EDATE(C69,MAX(0,(YEAR(cr_start)-YEAR(C69))*12+MONTH(cr_start)-MONTH(C69))),EDATE(C69,MAX(0,(YEAR(cr_start)-YEAR(C69))*12+MONTH(cr_start)-MONTH(C69))+1)),IF(E69="Quarterly",IF(EDATE(C69,MAX(0,ROUNDUP(((YEAR(cr_start)-YEAR(C69))*12+MONTH(cr_start)-MONTH(C69))/3,0))*3)&gt;=cr_start,EDATE(C69,MAX(0,ROUNDUP(((YEAR(cr_start)-YEAR(C69))*12+MONTH(cr_start)-MONTH(C69))/3,0))*3),EDATE(C69,MAX(0,ROUNDUP(((YEAR(cr_start)-YEAR(C69))*12+MONTH(cr_start)-MONTH(C69))/3,0))*3+3)),C69))))))</f>
        <v/>
      </c>
      <c r="G69" s="33" t="str">
        <f>IF(AND(B69="",C69="",D69=""),"",IF(D69="","No amount yet: not counted",IF(C69="","No date yet: not counted",IF(F69&lt;cr_start,"Date has passed: not counted",IF(F69&gt;cr_last,"After the 90 days","Counted")))))</f>
        <v/>
      </c>
    </row>
    <row r="70" spans="2:7" s="1" customFormat="1">
      <c r="B70" s="25"/>
      <c r="C70" s="26"/>
      <c r="D70" s="27"/>
      <c r="E70" s="25"/>
      <c r="F70" s="32" t="str">
        <f>IF(OR(D70="",C70=""),"",IF(E70="Every day",MAX(C70,cr_start),IF(E70="Weekly",C70+MAX(0,ROUNDUP((cr_start-C70)/7,0))*7,IF(E70="Every 2 weeks",C70+MAX(0,ROUNDUP((cr_start-C70)/14,0))*14,IF(E70="Monthly",IF(EDATE(C70,MAX(0,(YEAR(cr_start)-YEAR(C70))*12+MONTH(cr_start)-MONTH(C70)))&gt;=cr_start,EDATE(C70,MAX(0,(YEAR(cr_start)-YEAR(C70))*12+MONTH(cr_start)-MONTH(C70))),EDATE(C70,MAX(0,(YEAR(cr_start)-YEAR(C70))*12+MONTH(cr_start)-MONTH(C70))+1)),IF(E70="Quarterly",IF(EDATE(C70,MAX(0,ROUNDUP(((YEAR(cr_start)-YEAR(C70))*12+MONTH(cr_start)-MONTH(C70))/3,0))*3)&gt;=cr_start,EDATE(C70,MAX(0,ROUNDUP(((YEAR(cr_start)-YEAR(C70))*12+MONTH(cr_start)-MONTH(C70))/3,0))*3),EDATE(C70,MAX(0,ROUNDUP(((YEAR(cr_start)-YEAR(C70))*12+MONTH(cr_start)-MONTH(C70))/3,0))*3+3)),C70))))))</f>
        <v/>
      </c>
      <c r="G70" s="33" t="str">
        <f>IF(AND(B70="",C70="",D70=""),"",IF(D70="","No amount yet: not counted",IF(C70="","No date yet: not counted",IF(F70&lt;cr_start,"Date has passed: not counted",IF(F70&gt;cr_last,"After the 90 days","Counted")))))</f>
        <v/>
      </c>
    </row>
    <row r="71" spans="2:7" s="1" customFormat="1">
      <c r="B71" s="25"/>
      <c r="C71" s="26"/>
      <c r="D71" s="27"/>
      <c r="E71" s="25"/>
      <c r="F71" s="32" t="str">
        <f>IF(OR(D71="",C71=""),"",IF(E71="Every day",MAX(C71,cr_start),IF(E71="Weekly",C71+MAX(0,ROUNDUP((cr_start-C71)/7,0))*7,IF(E71="Every 2 weeks",C71+MAX(0,ROUNDUP((cr_start-C71)/14,0))*14,IF(E71="Monthly",IF(EDATE(C71,MAX(0,(YEAR(cr_start)-YEAR(C71))*12+MONTH(cr_start)-MONTH(C71)))&gt;=cr_start,EDATE(C71,MAX(0,(YEAR(cr_start)-YEAR(C71))*12+MONTH(cr_start)-MONTH(C71))),EDATE(C71,MAX(0,(YEAR(cr_start)-YEAR(C71))*12+MONTH(cr_start)-MONTH(C71))+1)),IF(E71="Quarterly",IF(EDATE(C71,MAX(0,ROUNDUP(((YEAR(cr_start)-YEAR(C71))*12+MONTH(cr_start)-MONTH(C71))/3,0))*3)&gt;=cr_start,EDATE(C71,MAX(0,ROUNDUP(((YEAR(cr_start)-YEAR(C71))*12+MONTH(cr_start)-MONTH(C71))/3,0))*3),EDATE(C71,MAX(0,ROUNDUP(((YEAR(cr_start)-YEAR(C71))*12+MONTH(cr_start)-MONTH(C71))/3,0))*3+3)),C71))))))</f>
        <v/>
      </c>
      <c r="G71" s="33" t="str">
        <f>IF(AND(B71="",C71="",D71=""),"",IF(D71="","No amount yet: not counted",IF(C71="","No date yet: not counted",IF(F71&lt;cr_start,"Date has passed: not counted",IF(F71&gt;cr_last,"After the 90 days","Counted")))))</f>
        <v/>
      </c>
    </row>
    <row r="72" spans="2:7" s="1" customFormat="1"/>
    <row r="73" spans="2:7" s="1" customFormat="1" ht="26.25" customHeight="1">
      <c r="B73" s="29" t="s">
        <v>33</v>
      </c>
    </row>
    <row r="74" spans="2:7" s="1" customFormat="1" ht="20.25" customHeight="1">
      <c r="B74" s="34" t="s">
        <v>34</v>
      </c>
      <c r="C74" s="34"/>
      <c r="D74" s="34"/>
      <c r="E74" s="34"/>
      <c r="F74" s="34"/>
      <c r="G74" s="34"/>
    </row>
    <row r="75" spans="2:7" s="1" customFormat="1" ht="20.25" customHeight="1">
      <c r="B75" s="34" t="s">
        <v>35</v>
      </c>
      <c r="C75" s="34"/>
      <c r="D75" s="34"/>
      <c r="E75" s="34"/>
      <c r="F75" s="34"/>
      <c r="G75" s="34"/>
    </row>
    <row r="76" spans="2:7" s="1" customFormat="1" ht="20.25" customHeight="1">
      <c r="B76" s="34"/>
      <c r="C76" s="34"/>
      <c r="D76" s="34"/>
      <c r="E76" s="34"/>
      <c r="F76" s="34"/>
      <c r="G76" s="34"/>
    </row>
    <row r="77" spans="2:7" s="1" customFormat="1" ht="20.25" customHeight="1">
      <c r="B77" s="34"/>
      <c r="C77" s="34"/>
      <c r="D77" s="34"/>
      <c r="E77" s="34"/>
      <c r="F77" s="34"/>
      <c r="G77" s="34"/>
    </row>
    <row r="78" spans="2:7" s="1" customFormat="1" ht="20.25" customHeight="1">
      <c r="B78" s="34"/>
      <c r="C78" s="34"/>
      <c r="D78" s="34"/>
      <c r="E78" s="34"/>
      <c r="F78" s="34"/>
      <c r="G78" s="34"/>
    </row>
    <row r="79" spans="2:7" s="1" customFormat="1" ht="20.25" customHeight="1">
      <c r="B79" s="34"/>
      <c r="C79" s="34"/>
      <c r="D79" s="34"/>
      <c r="E79" s="34"/>
      <c r="F79" s="34"/>
      <c r="G79" s="34"/>
    </row>
    <row r="80" spans="2:7" s="1" customFormat="1" ht="20.25" customHeight="1">
      <c r="B80" s="34"/>
      <c r="C80" s="34"/>
      <c r="D80" s="34"/>
      <c r="E80" s="34"/>
      <c r="F80" s="34"/>
      <c r="G80" s="34"/>
    </row>
    <row r="81" spans="2:7" s="1" customFormat="1" ht="20.25" customHeight="1">
      <c r="B81" s="34"/>
      <c r="C81" s="34"/>
      <c r="D81" s="34"/>
      <c r="E81" s="34"/>
      <c r="F81" s="34"/>
      <c r="G81" s="34"/>
    </row>
    <row r="82" spans="2:7" s="1" customFormat="1" ht="20.25" customHeight="1">
      <c r="B82" s="34"/>
      <c r="C82" s="34"/>
      <c r="D82" s="34"/>
      <c r="E82" s="34"/>
      <c r="F82" s="34"/>
      <c r="G82" s="34"/>
    </row>
    <row r="83" spans="2:7" s="1" customFormat="1" ht="20.25" customHeight="1">
      <c r="B83" s="34"/>
      <c r="C83" s="34"/>
      <c r="D83" s="34"/>
      <c r="E83" s="34"/>
      <c r="F83" s="34"/>
      <c r="G83" s="34"/>
    </row>
    <row r="84" spans="2:7" s="1" customFormat="1" ht="20.25" customHeight="1">
      <c r="B84" s="34"/>
      <c r="C84" s="34"/>
      <c r="D84" s="34"/>
      <c r="E84" s="34"/>
      <c r="F84" s="34"/>
      <c r="G84" s="34"/>
    </row>
    <row r="85" spans="2:7" s="1" customFormat="1" ht="20.25" customHeight="1">
      <c r="B85" s="34"/>
      <c r="C85" s="34"/>
      <c r="D85" s="34"/>
      <c r="E85" s="34"/>
      <c r="F85" s="34"/>
      <c r="G85" s="34"/>
    </row>
    <row r="86" spans="2:7" s="1" customFormat="1"/>
    <row r="87" spans="2:7" s="1" customFormat="1"/>
    <row r="88" spans="2:7" s="1" customFormat="1"/>
    <row r="89" spans="2:7" s="1" customFormat="1"/>
    <row r="90" spans="2:7" s="1" customFormat="1"/>
    <row r="91" spans="2:7" s="1" customFormat="1"/>
    <row r="92" spans="2:7" s="1" customFormat="1"/>
    <row r="93" spans="2:7" s="1" customFormat="1"/>
    <row r="94" spans="2:7" s="1" customFormat="1"/>
    <row r="95" spans="2:7" s="1" customFormat="1"/>
    <row r="96" spans="2:7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</sheetData>
  <sheetProtection sheet="1" objects="1" scenarios="1" formatColumns="0" formatRows="0"/>
  <mergeCells count="13">
    <mergeCell ref="C6:E6"/>
    <mergeCell ref="B74:G74"/>
    <mergeCell ref="B75:G75"/>
    <mergeCell ref="B76:G76"/>
    <mergeCell ref="B77:G77"/>
    <mergeCell ref="B78:G78"/>
    <mergeCell ref="B79:G79"/>
    <mergeCell ref="B80:G80"/>
    <mergeCell ref="B81:G81"/>
    <mergeCell ref="B82:G82"/>
    <mergeCell ref="B83:G83"/>
    <mergeCell ref="B84:G84"/>
    <mergeCell ref="B85:G85"/>
  </mergeCells>
  <conditionalFormatting sqref="G14:G33">
    <cfRule type="containsText" dxfId="0" priority="1" operator="containsText" text="not counted">
      <formula>NOT(ISERROR(SEARCH("not counted",G14)))</formula>
    </cfRule>
  </conditionalFormatting>
  <conditionalFormatting sqref="G37:G71">
    <cfRule type="containsText" dxfId="0" priority="2" operator="containsText" text="not counted">
      <formula>NOT(ISERROR(SEARCH("not counted",G37)))</formula>
    </cfRule>
  </conditionalFormatting>
  <dataValidations count="9">
    <dataValidation type="date" operator="greaterThan" allowBlank="1" showInputMessage="1" showErrorMessage="1" sqref="C7">
      <formula1>36526</formula1>
    </dataValidation>
    <dataValidation type="decimal" allowBlank="1" showInputMessage="1" showErrorMessage="1" error="Numbers only." sqref="C8:C9">
      <formula1>-1000000000000.0</formula1>
      <formula2>1000000000000.0</formula2>
    </dataValidation>
    <dataValidation type="whole" allowBlank="1" showInputMessage="1" showErrorMessage="1" sqref="C10">
      <formula1>0</formula1>
      <formula2>120</formula2>
    </dataValidation>
    <dataValidation type="date" operator="greaterThan" allowBlank="1" showInputMessage="1" showErrorMessage="1" error="Please type a date." sqref="C14:C33">
      <formula1>36526</formula1>
    </dataValidation>
    <dataValidation type="decimal" operator="greaterThanOrEqual" allowBlank="1" showInputMessage="1" showErrorMessage="1" error="Type the amount as a plain number." sqref="D14:D33">
      <formula1>0</formula1>
    </dataValidation>
    <dataValidation type="list" allowBlank="1" showInputMessage="1" showErrorMessage="1" sqref="E14:E33">
      <formula1>"Once,Every day,Weekly,Every 2 weeks,Monthly,Quarterly"</formula1>
    </dataValidation>
    <dataValidation type="date" operator="greaterThan" allowBlank="1" showInputMessage="1" showErrorMessage="1" error="Please type a date." sqref="C37:C71">
      <formula1>36526</formula1>
    </dataValidation>
    <dataValidation type="decimal" operator="greaterThanOrEqual" allowBlank="1" showInputMessage="1" showErrorMessage="1" error="Type the amount as a plain number." sqref="D37:D71">
      <formula1>0</formula1>
    </dataValidation>
    <dataValidation type="list" allowBlank="1" showInputMessage="1" showErrorMessage="1" sqref="E37:E71">
      <formula1>"Once,Every day,Weekly,Every 2 weeks,Monthly,Quarterly"</formula1>
    </dataValidation>
  </dataValidations>
  <pageMargins left="0.4" right="0.4" top="0.45" bottom="0.45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7E9E8A"/>
    <pageSetUpPr fitToPage="1"/>
  </sheetPr>
  <dimension ref="A1:XFD130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3.28515625" style="1" customWidth="1"/>
    <col min="2" max="2" width="15.7109375" style="1" customWidth="1"/>
    <col min="3" max="3" width="46.7109375" style="1" customWidth="1"/>
    <col min="4" max="8" width="13.28515625" style="1" customWidth="1"/>
    <col min="9" max="9" width="3.28515625" style="1" customWidth="1"/>
    <col min="10" max="16384" width="0" style="1" hidden="1" customWidth="1"/>
  </cols>
  <sheetData>
    <row r="1" spans="2:8" s="1" customFormat="1"/>
    <row r="2" spans="2:8" s="1" customFormat="1" ht="30" customHeight="1">
      <c r="B2" s="22" t="s">
        <v>36</v>
      </c>
    </row>
    <row r="3" spans="2:8" s="1" customFormat="1">
      <c r="B3" s="24" t="s">
        <v>37</v>
      </c>
    </row>
    <row r="4" spans="2:8" s="1" customFormat="1"/>
    <row r="5" spans="2:8" s="1" customFormat="1" ht="24" customHeight="1">
      <c r="B5" s="30" t="s">
        <v>38</v>
      </c>
      <c r="C5" s="30" t="s">
        <v>39</v>
      </c>
      <c r="D5" s="31" t="s">
        <v>40</v>
      </c>
      <c r="E5" s="31" t="s">
        <v>41</v>
      </c>
      <c r="F5" s="31" t="s">
        <v>42</v>
      </c>
      <c r="G5" s="31" t="s">
        <v>43</v>
      </c>
      <c r="H5" s="31" t="s">
        <v>44</v>
      </c>
    </row>
    <row r="6" spans="2:8" s="1" customFormat="1">
      <c r="B6" s="35"/>
      <c r="C6" s="36" t="s">
        <v>45</v>
      </c>
      <c r="D6" s="37"/>
      <c r="E6" s="37"/>
      <c r="F6" s="38">
        <f>cr_open</f>
        <v>11400.0</v>
      </c>
      <c r="G6" s="39">
        <f>F6-cr_floor</f>
        <v>6400.0</v>
      </c>
      <c r="H6" s="40">
        <f>F6</f>
        <v>11400.0</v>
      </c>
    </row>
    <row r="7" spans="2:8" s="1" customFormat="1">
      <c r="B7" s="41">
        <f>cr_start</f>
        <v>46328.0</v>
      </c>
      <c r="C7" s="42" t="str">
        <f t="array" ref="C7">IFERROR(_xlfn.TEXTJOIN("  ·  ",TRUE,IF((cr_in_amt&gt;0)*((cr_in_date&gt;0)*(cr_in_date&lt;=$B7)*(((cr_in_rep="Once")+(cr_in_rep=""))*(cr_in_date=$B7)+(cr_in_rep="Every day")+(cr_in_rep="Weekly")*(MOD($B7-cr_in_date,7)=0)+(cr_in_rep="Every 2 weeks")*(MOD($B7-cr_in_date,14)=0)+(cr_in_rep="Monthly")*(((DAY(cr_in_date)=DAY($B7))+(DAY($B7)=DAY(EOMONTH($B7,0)))*(DAY(cr_in_date)&gt;DAY($B7)))&gt;0)+(cr_in_rep="Quarterly")*(((DAY(cr_in_date)=DAY($B7))+(DAY($B7)=DAY(EOMONTH($B7,0)))*(DAY(cr_in_date)&gt;DAY($B7)))&gt;0)*(MOD((YEAR($B7)-YEAR(cr_in_date))*12+MONTH($B7)-MONTH(cr_in_date),3)=0)))&gt;0,"+ "&amp;cr_in_name,""),IF((cr_out_amt&gt;0)*((cr_out_date&gt;0)*(cr_out_date&lt;=$B7)*(((cr_out_rep="Once")+(cr_out_rep=""))*(cr_out_date=$B7)+(cr_out_rep="Every day")+(cr_out_rep="Weekly")*(MOD($B7-cr_out_date,7)=0)+(cr_out_rep="Every 2 weeks")*(MOD($B7-cr_out_date,14)=0)+(cr_out_rep="Monthly")*(((DAY(cr_out_date)=DAY($B7))+(DAY($B7)=DAY(EOMONTH($B7,0)))*(DAY(cr_out_date)&gt;DAY($B7)))&gt;0)+(cr_out_rep="Quarterly")*(((DAY(cr_out_date)=DAY($B7))+(DAY($B7)=DAY(EOMONTH($B7,0)))*(DAY(cr_out_date)&gt;DAY($B7)))&gt;0)*(MOD((YEAR($B7)-YEAR(cr_out_date))*12+MONTH($B7)-MONTH(cr_out_date),3)=0)))&gt;0,cr_out_name,"")),"")</f>
        <v/>
      </c>
      <c r="D7" s="43">
        <f>SUMPRODUCT(cr_in_amt*(cr_in_date&gt;0)*(cr_in_date&lt;=$B7)*(((cr_in_rep="Once")+(cr_in_rep=""))*(cr_in_date=$B7)+(cr_in_rep="Every day")+(cr_in_rep="Weekly")*(MOD($B7-cr_in_date,7)=0)+(cr_in_rep="Every 2 weeks")*(MOD($B7-cr_in_date,14)=0)+(cr_in_rep="Monthly")*(((DAY(cr_in_date)=DAY($B7))+(DAY($B7)=DAY(EOMONTH($B7,0)))*(DAY(cr_in_date)&gt;DAY($B7)))&gt;0)+(cr_in_rep="Quarterly")*(((DAY(cr_in_date)=DAY($B7))+(DAY($B7)=DAY(EOMONTH($B7,0)))*(DAY(cr_in_date)&gt;DAY($B7)))&gt;0)*(MOD((YEAR($B7)-YEAR(cr_in_date))*12+MONTH($B7)-MONTH(cr_in_date),3)=0)))</f>
        <v>0.0</v>
      </c>
      <c r="E7" s="43">
        <f>SUMPRODUCT(cr_out_amt*(cr_out_date&gt;0)*(cr_out_date&lt;=$B7)*(((cr_out_rep="Once")+(cr_out_rep=""))*(cr_out_date=$B7)+(cr_out_rep="Every day")+(cr_out_rep="Weekly")*(MOD($B7-cr_out_date,7)=0)+(cr_out_rep="Every 2 weeks")*(MOD($B7-cr_out_date,14)=0)+(cr_out_rep="Monthly")*(((DAY(cr_out_date)=DAY($B7))+(DAY($B7)=DAY(EOMONTH($B7,0)))*(DAY(cr_out_date)&gt;DAY($B7)))&gt;0)+(cr_out_rep="Quarterly")*(((DAY(cr_out_date)=DAY($B7))+(DAY($B7)=DAY(EOMONTH($B7,0)))*(DAY(cr_out_date)&gt;DAY($B7)))&gt;0)*(MOD((YEAR($B7)-YEAR(cr_out_date))*12+MONTH($B7)-MONTH(cr_out_date),3)=0)))</f>
        <v>0.0</v>
      </c>
      <c r="F7" s="44">
        <f>F6+D7-E7</f>
        <v>11400.0</v>
      </c>
      <c r="G7" s="45">
        <f>F7-cr_floor</f>
        <v>6400.0</v>
      </c>
      <c r="H7" s="46">
        <f>F7-cr_big_amt*($B7&gt;=cr_big_date)*($B7&lt;cr_big_date+cr_late)</f>
        <v>11400.0</v>
      </c>
    </row>
    <row r="8" spans="2:8" s="1" customFormat="1">
      <c r="B8" s="41">
        <f>B7+1</f>
        <v>46329.0</v>
      </c>
      <c r="C8" s="42" t="str">
        <f t="array" ref="C8">IFERROR(_xlfn.TEXTJOIN("  ·  ",TRUE,IF((cr_in_amt&gt;0)*((cr_in_date&gt;0)*(cr_in_date&lt;=$B8)*(((cr_in_rep="Once")+(cr_in_rep=""))*(cr_in_date=$B8)+(cr_in_rep="Every day")+(cr_in_rep="Weekly")*(MOD($B8-cr_in_date,7)=0)+(cr_in_rep="Every 2 weeks")*(MOD($B8-cr_in_date,14)=0)+(cr_in_rep="Monthly")*(((DAY(cr_in_date)=DAY($B8))+(DAY($B8)=DAY(EOMONTH($B8,0)))*(DAY(cr_in_date)&gt;DAY($B8)))&gt;0)+(cr_in_rep="Quarterly")*(((DAY(cr_in_date)=DAY($B8))+(DAY($B8)=DAY(EOMONTH($B8,0)))*(DAY(cr_in_date)&gt;DAY($B8)))&gt;0)*(MOD((YEAR($B8)-YEAR(cr_in_date))*12+MONTH($B8)-MONTH(cr_in_date),3)=0)))&gt;0,"+ "&amp;cr_in_name,""),IF((cr_out_amt&gt;0)*((cr_out_date&gt;0)*(cr_out_date&lt;=$B8)*(((cr_out_rep="Once")+(cr_out_rep=""))*(cr_out_date=$B8)+(cr_out_rep="Every day")+(cr_out_rep="Weekly")*(MOD($B8-cr_out_date,7)=0)+(cr_out_rep="Every 2 weeks")*(MOD($B8-cr_out_date,14)=0)+(cr_out_rep="Monthly")*(((DAY(cr_out_date)=DAY($B8))+(DAY($B8)=DAY(EOMONTH($B8,0)))*(DAY(cr_out_date)&gt;DAY($B8)))&gt;0)+(cr_out_rep="Quarterly")*(((DAY(cr_out_date)=DAY($B8))+(DAY($B8)=DAY(EOMONTH($B8,0)))*(DAY(cr_out_date)&gt;DAY($B8)))&gt;0)*(MOD((YEAR($B8)-YEAR(cr_out_date))*12+MONTH($B8)-MONTH(cr_out_date),3)=0)))&gt;0,cr_out_name,"")),"")</f>
        <v/>
      </c>
      <c r="D8" s="43">
        <f>SUMPRODUCT(cr_in_amt*(cr_in_date&gt;0)*(cr_in_date&lt;=$B8)*(((cr_in_rep="Once")+(cr_in_rep=""))*(cr_in_date=$B8)+(cr_in_rep="Every day")+(cr_in_rep="Weekly")*(MOD($B8-cr_in_date,7)=0)+(cr_in_rep="Every 2 weeks")*(MOD($B8-cr_in_date,14)=0)+(cr_in_rep="Monthly")*(((DAY(cr_in_date)=DAY($B8))+(DAY($B8)=DAY(EOMONTH($B8,0)))*(DAY(cr_in_date)&gt;DAY($B8)))&gt;0)+(cr_in_rep="Quarterly")*(((DAY(cr_in_date)=DAY($B8))+(DAY($B8)=DAY(EOMONTH($B8,0)))*(DAY(cr_in_date)&gt;DAY($B8)))&gt;0)*(MOD((YEAR($B8)-YEAR(cr_in_date))*12+MONTH($B8)-MONTH(cr_in_date),3)=0)))</f>
        <v>0.0</v>
      </c>
      <c r="E8" s="43">
        <f>SUMPRODUCT(cr_out_amt*(cr_out_date&gt;0)*(cr_out_date&lt;=$B8)*(((cr_out_rep="Once")+(cr_out_rep=""))*(cr_out_date=$B8)+(cr_out_rep="Every day")+(cr_out_rep="Weekly")*(MOD($B8-cr_out_date,7)=0)+(cr_out_rep="Every 2 weeks")*(MOD($B8-cr_out_date,14)=0)+(cr_out_rep="Monthly")*(((DAY(cr_out_date)=DAY($B8))+(DAY($B8)=DAY(EOMONTH($B8,0)))*(DAY(cr_out_date)&gt;DAY($B8)))&gt;0)+(cr_out_rep="Quarterly")*(((DAY(cr_out_date)=DAY($B8))+(DAY($B8)=DAY(EOMONTH($B8,0)))*(DAY(cr_out_date)&gt;DAY($B8)))&gt;0)*(MOD((YEAR($B8)-YEAR(cr_out_date))*12+MONTH($B8)-MONTH(cr_out_date),3)=0)))</f>
        <v>0.0</v>
      </c>
      <c r="F8" s="44">
        <f>F7+D8-E8</f>
        <v>11400.0</v>
      </c>
      <c r="G8" s="45">
        <f>F8-cr_floor</f>
        <v>6400.0</v>
      </c>
      <c r="H8" s="46">
        <f>F8-cr_big_amt*($B8&gt;=cr_big_date)*($B8&lt;cr_big_date+cr_late)</f>
        <v>11400.0</v>
      </c>
    </row>
    <row r="9" spans="2:8" s="1" customFormat="1">
      <c r="B9" s="41">
        <f>B8+1</f>
        <v>46330.0</v>
      </c>
      <c r="C9" s="42" t="str">
        <f t="array" ref="C9">IFERROR(_xlfn.TEXTJOIN("  ·  ",TRUE,IF((cr_in_amt&gt;0)*((cr_in_date&gt;0)*(cr_in_date&lt;=$B9)*(((cr_in_rep="Once")+(cr_in_rep=""))*(cr_in_date=$B9)+(cr_in_rep="Every day")+(cr_in_rep="Weekly")*(MOD($B9-cr_in_date,7)=0)+(cr_in_rep="Every 2 weeks")*(MOD($B9-cr_in_date,14)=0)+(cr_in_rep="Monthly")*(((DAY(cr_in_date)=DAY($B9))+(DAY($B9)=DAY(EOMONTH($B9,0)))*(DAY(cr_in_date)&gt;DAY($B9)))&gt;0)+(cr_in_rep="Quarterly")*(((DAY(cr_in_date)=DAY($B9))+(DAY($B9)=DAY(EOMONTH($B9,0)))*(DAY(cr_in_date)&gt;DAY($B9)))&gt;0)*(MOD((YEAR($B9)-YEAR(cr_in_date))*12+MONTH($B9)-MONTH(cr_in_date),3)=0)))&gt;0,"+ "&amp;cr_in_name,""),IF((cr_out_amt&gt;0)*((cr_out_date&gt;0)*(cr_out_date&lt;=$B9)*(((cr_out_rep="Once")+(cr_out_rep=""))*(cr_out_date=$B9)+(cr_out_rep="Every day")+(cr_out_rep="Weekly")*(MOD($B9-cr_out_date,7)=0)+(cr_out_rep="Every 2 weeks")*(MOD($B9-cr_out_date,14)=0)+(cr_out_rep="Monthly")*(((DAY(cr_out_date)=DAY($B9))+(DAY($B9)=DAY(EOMONTH($B9,0)))*(DAY(cr_out_date)&gt;DAY($B9)))&gt;0)+(cr_out_rep="Quarterly")*(((DAY(cr_out_date)=DAY($B9))+(DAY($B9)=DAY(EOMONTH($B9,0)))*(DAY(cr_out_date)&gt;DAY($B9)))&gt;0)*(MOD((YEAR($B9)-YEAR(cr_out_date))*12+MONTH($B9)-MONTH(cr_out_date),3)=0)))&gt;0,cr_out_name,"")),"")</f>
        <v/>
      </c>
      <c r="D9" s="43">
        <f>SUMPRODUCT(cr_in_amt*(cr_in_date&gt;0)*(cr_in_date&lt;=$B9)*(((cr_in_rep="Once")+(cr_in_rep=""))*(cr_in_date=$B9)+(cr_in_rep="Every day")+(cr_in_rep="Weekly")*(MOD($B9-cr_in_date,7)=0)+(cr_in_rep="Every 2 weeks")*(MOD($B9-cr_in_date,14)=0)+(cr_in_rep="Monthly")*(((DAY(cr_in_date)=DAY($B9))+(DAY($B9)=DAY(EOMONTH($B9,0)))*(DAY(cr_in_date)&gt;DAY($B9)))&gt;0)+(cr_in_rep="Quarterly")*(((DAY(cr_in_date)=DAY($B9))+(DAY($B9)=DAY(EOMONTH($B9,0)))*(DAY(cr_in_date)&gt;DAY($B9)))&gt;0)*(MOD((YEAR($B9)-YEAR(cr_in_date))*12+MONTH($B9)-MONTH(cr_in_date),3)=0)))</f>
        <v>0.0</v>
      </c>
      <c r="E9" s="43">
        <f>SUMPRODUCT(cr_out_amt*(cr_out_date&gt;0)*(cr_out_date&lt;=$B9)*(((cr_out_rep="Once")+(cr_out_rep=""))*(cr_out_date=$B9)+(cr_out_rep="Every day")+(cr_out_rep="Weekly")*(MOD($B9-cr_out_date,7)=0)+(cr_out_rep="Every 2 weeks")*(MOD($B9-cr_out_date,14)=0)+(cr_out_rep="Monthly")*(((DAY(cr_out_date)=DAY($B9))+(DAY($B9)=DAY(EOMONTH($B9,0)))*(DAY(cr_out_date)&gt;DAY($B9)))&gt;0)+(cr_out_rep="Quarterly")*(((DAY(cr_out_date)=DAY($B9))+(DAY($B9)=DAY(EOMONTH($B9,0)))*(DAY(cr_out_date)&gt;DAY($B9)))&gt;0)*(MOD((YEAR($B9)-YEAR(cr_out_date))*12+MONTH($B9)-MONTH(cr_out_date),3)=0)))</f>
        <v>0.0</v>
      </c>
      <c r="F9" s="44">
        <f>F8+D9-E9</f>
        <v>11400.0</v>
      </c>
      <c r="G9" s="45">
        <f>F9-cr_floor</f>
        <v>6400.0</v>
      </c>
      <c r="H9" s="46">
        <f>F9-cr_big_amt*($B9&gt;=cr_big_date)*($B9&lt;cr_big_date+cr_late)</f>
        <v>11400.0</v>
      </c>
    </row>
    <row r="10" spans="2:8" s="1" customFormat="1">
      <c r="B10" s="41">
        <f>B9+1</f>
        <v>46331.0</v>
      </c>
      <c r="C10" s="42" t="str">
        <f t="array" ref="C10">IFERROR(_xlfn.TEXTJOIN("  ·  ",TRUE,IF((cr_in_amt&gt;0)*((cr_in_date&gt;0)*(cr_in_date&lt;=$B10)*(((cr_in_rep="Once")+(cr_in_rep=""))*(cr_in_date=$B10)+(cr_in_rep="Every day")+(cr_in_rep="Weekly")*(MOD($B10-cr_in_date,7)=0)+(cr_in_rep="Every 2 weeks")*(MOD($B10-cr_in_date,14)=0)+(cr_in_rep="Monthly")*(((DAY(cr_in_date)=DAY($B10))+(DAY($B10)=DAY(EOMONTH($B10,0)))*(DAY(cr_in_date)&gt;DAY($B10)))&gt;0)+(cr_in_rep="Quarterly")*(((DAY(cr_in_date)=DAY($B10))+(DAY($B10)=DAY(EOMONTH($B10,0)))*(DAY(cr_in_date)&gt;DAY($B10)))&gt;0)*(MOD((YEAR($B10)-YEAR(cr_in_date))*12+MONTH($B10)-MONTH(cr_in_date),3)=0)))&gt;0,"+ "&amp;cr_in_name,""),IF((cr_out_amt&gt;0)*((cr_out_date&gt;0)*(cr_out_date&lt;=$B10)*(((cr_out_rep="Once")+(cr_out_rep=""))*(cr_out_date=$B10)+(cr_out_rep="Every day")+(cr_out_rep="Weekly")*(MOD($B10-cr_out_date,7)=0)+(cr_out_rep="Every 2 weeks")*(MOD($B10-cr_out_date,14)=0)+(cr_out_rep="Monthly")*(((DAY(cr_out_date)=DAY($B10))+(DAY($B10)=DAY(EOMONTH($B10,0)))*(DAY(cr_out_date)&gt;DAY($B10)))&gt;0)+(cr_out_rep="Quarterly")*(((DAY(cr_out_date)=DAY($B10))+(DAY($B10)=DAY(EOMONTH($B10,0)))*(DAY(cr_out_date)&gt;DAY($B10)))&gt;0)*(MOD((YEAR($B10)-YEAR(cr_out_date))*12+MONTH($B10)-MONTH(cr_out_date),3)=0)))&gt;0,cr_out_name,"")),"")</f>
        <v/>
      </c>
      <c r="D10" s="43">
        <f>SUMPRODUCT(cr_in_amt*(cr_in_date&gt;0)*(cr_in_date&lt;=$B10)*(((cr_in_rep="Once")+(cr_in_rep=""))*(cr_in_date=$B10)+(cr_in_rep="Every day")+(cr_in_rep="Weekly")*(MOD($B10-cr_in_date,7)=0)+(cr_in_rep="Every 2 weeks")*(MOD($B10-cr_in_date,14)=0)+(cr_in_rep="Monthly")*(((DAY(cr_in_date)=DAY($B10))+(DAY($B10)=DAY(EOMONTH($B10,0)))*(DAY(cr_in_date)&gt;DAY($B10)))&gt;0)+(cr_in_rep="Quarterly")*(((DAY(cr_in_date)=DAY($B10))+(DAY($B10)=DAY(EOMONTH($B10,0)))*(DAY(cr_in_date)&gt;DAY($B10)))&gt;0)*(MOD((YEAR($B10)-YEAR(cr_in_date))*12+MONTH($B10)-MONTH(cr_in_date),3)=0)))</f>
        <v>0.0</v>
      </c>
      <c r="E10" s="43">
        <f>SUMPRODUCT(cr_out_amt*(cr_out_date&gt;0)*(cr_out_date&lt;=$B10)*(((cr_out_rep="Once")+(cr_out_rep=""))*(cr_out_date=$B10)+(cr_out_rep="Every day")+(cr_out_rep="Weekly")*(MOD($B10-cr_out_date,7)=0)+(cr_out_rep="Every 2 weeks")*(MOD($B10-cr_out_date,14)=0)+(cr_out_rep="Monthly")*(((DAY(cr_out_date)=DAY($B10))+(DAY($B10)=DAY(EOMONTH($B10,0)))*(DAY(cr_out_date)&gt;DAY($B10)))&gt;0)+(cr_out_rep="Quarterly")*(((DAY(cr_out_date)=DAY($B10))+(DAY($B10)=DAY(EOMONTH($B10,0)))*(DAY(cr_out_date)&gt;DAY($B10)))&gt;0)*(MOD((YEAR($B10)-YEAR(cr_out_date))*12+MONTH($B10)-MONTH(cr_out_date),3)=0)))</f>
        <v>0.0</v>
      </c>
      <c r="F10" s="44">
        <f>F9+D10-E10</f>
        <v>11400.0</v>
      </c>
      <c r="G10" s="45">
        <f>F10-cr_floor</f>
        <v>6400.0</v>
      </c>
      <c r="H10" s="46">
        <f>F10-cr_big_amt*($B10&gt;=cr_big_date)*($B10&lt;cr_big_date+cr_late)</f>
        <v>11400.0</v>
      </c>
    </row>
    <row r="11" spans="2:8" s="1" customFormat="1">
      <c r="B11" s="41">
        <f>B10+1</f>
        <v>46332.0</v>
      </c>
      <c r="C11" s="42" t="str">
        <f t="array" ref="C11">IFERROR(_xlfn.TEXTJOIN("  ·  ",TRUE,IF((cr_in_amt&gt;0)*((cr_in_date&gt;0)*(cr_in_date&lt;=$B11)*(((cr_in_rep="Once")+(cr_in_rep=""))*(cr_in_date=$B11)+(cr_in_rep="Every day")+(cr_in_rep="Weekly")*(MOD($B11-cr_in_date,7)=0)+(cr_in_rep="Every 2 weeks")*(MOD($B11-cr_in_date,14)=0)+(cr_in_rep="Monthly")*(((DAY(cr_in_date)=DAY($B11))+(DAY($B11)=DAY(EOMONTH($B11,0)))*(DAY(cr_in_date)&gt;DAY($B11)))&gt;0)+(cr_in_rep="Quarterly")*(((DAY(cr_in_date)=DAY($B11))+(DAY($B11)=DAY(EOMONTH($B11,0)))*(DAY(cr_in_date)&gt;DAY($B11)))&gt;0)*(MOD((YEAR($B11)-YEAR(cr_in_date))*12+MONTH($B11)-MONTH(cr_in_date),3)=0)))&gt;0,"+ "&amp;cr_in_name,""),IF((cr_out_amt&gt;0)*((cr_out_date&gt;0)*(cr_out_date&lt;=$B11)*(((cr_out_rep="Once")+(cr_out_rep=""))*(cr_out_date=$B11)+(cr_out_rep="Every day")+(cr_out_rep="Weekly")*(MOD($B11-cr_out_date,7)=0)+(cr_out_rep="Every 2 weeks")*(MOD($B11-cr_out_date,14)=0)+(cr_out_rep="Monthly")*(((DAY(cr_out_date)=DAY($B11))+(DAY($B11)=DAY(EOMONTH($B11,0)))*(DAY(cr_out_date)&gt;DAY($B11)))&gt;0)+(cr_out_rep="Quarterly")*(((DAY(cr_out_date)=DAY($B11))+(DAY($B11)=DAY(EOMONTH($B11,0)))*(DAY(cr_out_date)&gt;DAY($B11)))&gt;0)*(MOD((YEAR($B11)-YEAR(cr_out_date))*12+MONTH($B11)-MONTH(cr_out_date),3)=0)))&gt;0,cr_out_name,"")),"")</f>
        <v>+ Shop takings (typical week)  ·  Wages</v>
      </c>
      <c r="D11" s="43">
        <f>SUMPRODUCT(cr_in_amt*(cr_in_date&gt;0)*(cr_in_date&lt;=$B11)*(((cr_in_rep="Once")+(cr_in_rep=""))*(cr_in_date=$B11)+(cr_in_rep="Every day")+(cr_in_rep="Weekly")*(MOD($B11-cr_in_date,7)=0)+(cr_in_rep="Every 2 weeks")*(MOD($B11-cr_in_date,14)=0)+(cr_in_rep="Monthly")*(((DAY(cr_in_date)=DAY($B11))+(DAY($B11)=DAY(EOMONTH($B11,0)))*(DAY(cr_in_date)&gt;DAY($B11)))&gt;0)+(cr_in_rep="Quarterly")*(((DAY(cr_in_date)=DAY($B11))+(DAY($B11)=DAY(EOMONTH($B11,0)))*(DAY(cr_in_date)&gt;DAY($B11)))&gt;0)*(MOD((YEAR($B11)-YEAR(cr_in_date))*12+MONTH($B11)-MONTH(cr_in_date),3)=0)))</f>
        <v>2600.0</v>
      </c>
      <c r="E11" s="43">
        <f>SUMPRODUCT(cr_out_amt*(cr_out_date&gt;0)*(cr_out_date&lt;=$B11)*(((cr_out_rep="Once")+(cr_out_rep=""))*(cr_out_date=$B11)+(cr_out_rep="Every day")+(cr_out_rep="Weekly")*(MOD($B11-cr_out_date,7)=0)+(cr_out_rep="Every 2 weeks")*(MOD($B11-cr_out_date,14)=0)+(cr_out_rep="Monthly")*(((DAY(cr_out_date)=DAY($B11))+(DAY($B11)=DAY(EOMONTH($B11,0)))*(DAY(cr_out_date)&gt;DAY($B11)))&gt;0)+(cr_out_rep="Quarterly")*(((DAY(cr_out_date)=DAY($B11))+(DAY($B11)=DAY(EOMONTH($B11,0)))*(DAY(cr_out_date)&gt;DAY($B11)))&gt;0)*(MOD((YEAR($B11)-YEAR(cr_out_date))*12+MONTH($B11)-MONTH(cr_out_date),3)=0)))</f>
        <v>3400.0</v>
      </c>
      <c r="F11" s="44">
        <f>F10+D11-E11</f>
        <v>10600.0</v>
      </c>
      <c r="G11" s="45">
        <f>F11-cr_floor</f>
        <v>5600.0</v>
      </c>
      <c r="H11" s="46">
        <f>F11-cr_big_amt*($B11&gt;=cr_big_date)*($B11&lt;cr_big_date+cr_late)</f>
        <v>10600.0</v>
      </c>
    </row>
    <row r="12" spans="2:8" s="1" customFormat="1">
      <c r="B12" s="41">
        <f>B11+1</f>
        <v>46333.0</v>
      </c>
      <c r="C12" s="42" t="str">
        <f t="array" ref="C12">IFERROR(_xlfn.TEXTJOIN("  ·  ",TRUE,IF((cr_in_amt&gt;0)*((cr_in_date&gt;0)*(cr_in_date&lt;=$B12)*(((cr_in_rep="Once")+(cr_in_rep=""))*(cr_in_date=$B12)+(cr_in_rep="Every day")+(cr_in_rep="Weekly")*(MOD($B12-cr_in_date,7)=0)+(cr_in_rep="Every 2 weeks")*(MOD($B12-cr_in_date,14)=0)+(cr_in_rep="Monthly")*(((DAY(cr_in_date)=DAY($B12))+(DAY($B12)=DAY(EOMONTH($B12,0)))*(DAY(cr_in_date)&gt;DAY($B12)))&gt;0)+(cr_in_rep="Quarterly")*(((DAY(cr_in_date)=DAY($B12))+(DAY($B12)=DAY(EOMONTH($B12,0)))*(DAY(cr_in_date)&gt;DAY($B12)))&gt;0)*(MOD((YEAR($B12)-YEAR(cr_in_date))*12+MONTH($B12)-MONTH(cr_in_date),3)=0)))&gt;0,"+ "&amp;cr_in_name,""),IF((cr_out_amt&gt;0)*((cr_out_date&gt;0)*(cr_out_date&lt;=$B12)*(((cr_out_rep="Once")+(cr_out_rep=""))*(cr_out_date=$B12)+(cr_out_rep="Every day")+(cr_out_rep="Weekly")*(MOD($B12-cr_out_date,7)=0)+(cr_out_rep="Every 2 weeks")*(MOD($B12-cr_out_date,14)=0)+(cr_out_rep="Monthly")*(((DAY(cr_out_date)=DAY($B12))+(DAY($B12)=DAY(EOMONTH($B12,0)))*(DAY(cr_out_date)&gt;DAY($B12)))&gt;0)+(cr_out_rep="Quarterly")*(((DAY(cr_out_date)=DAY($B12))+(DAY($B12)=DAY(EOMONTH($B12,0)))*(DAY(cr_out_date)&gt;DAY($B12)))&gt;0)*(MOD((YEAR($B12)-YEAR(cr_out_date))*12+MONTH($B12)-MONTH(cr_out_date),3)=0)))&gt;0,cr_out_name,"")),"")</f>
        <v/>
      </c>
      <c r="D12" s="43">
        <f>SUMPRODUCT(cr_in_amt*(cr_in_date&gt;0)*(cr_in_date&lt;=$B12)*(((cr_in_rep="Once")+(cr_in_rep=""))*(cr_in_date=$B12)+(cr_in_rep="Every day")+(cr_in_rep="Weekly")*(MOD($B12-cr_in_date,7)=0)+(cr_in_rep="Every 2 weeks")*(MOD($B12-cr_in_date,14)=0)+(cr_in_rep="Monthly")*(((DAY(cr_in_date)=DAY($B12))+(DAY($B12)=DAY(EOMONTH($B12,0)))*(DAY(cr_in_date)&gt;DAY($B12)))&gt;0)+(cr_in_rep="Quarterly")*(((DAY(cr_in_date)=DAY($B12))+(DAY($B12)=DAY(EOMONTH($B12,0)))*(DAY(cr_in_date)&gt;DAY($B12)))&gt;0)*(MOD((YEAR($B12)-YEAR(cr_in_date))*12+MONTH($B12)-MONTH(cr_in_date),3)=0)))</f>
        <v>0.0</v>
      </c>
      <c r="E12" s="43">
        <f>SUMPRODUCT(cr_out_amt*(cr_out_date&gt;0)*(cr_out_date&lt;=$B12)*(((cr_out_rep="Once")+(cr_out_rep=""))*(cr_out_date=$B12)+(cr_out_rep="Every day")+(cr_out_rep="Weekly")*(MOD($B12-cr_out_date,7)=0)+(cr_out_rep="Every 2 weeks")*(MOD($B12-cr_out_date,14)=0)+(cr_out_rep="Monthly")*(((DAY(cr_out_date)=DAY($B12))+(DAY($B12)=DAY(EOMONTH($B12,0)))*(DAY(cr_out_date)&gt;DAY($B12)))&gt;0)+(cr_out_rep="Quarterly")*(((DAY(cr_out_date)=DAY($B12))+(DAY($B12)=DAY(EOMONTH($B12,0)))*(DAY(cr_out_date)&gt;DAY($B12)))&gt;0)*(MOD((YEAR($B12)-YEAR(cr_out_date))*12+MONTH($B12)-MONTH(cr_out_date),3)=0)))</f>
        <v>0.0</v>
      </c>
      <c r="F12" s="44">
        <f>F11+D12-E12</f>
        <v>10600.0</v>
      </c>
      <c r="G12" s="45">
        <f>F12-cr_floor</f>
        <v>5600.0</v>
      </c>
      <c r="H12" s="46">
        <f>F12-cr_big_amt*($B12&gt;=cr_big_date)*($B12&lt;cr_big_date+cr_late)</f>
        <v>10600.0</v>
      </c>
    </row>
    <row r="13" spans="2:8" s="1" customFormat="1">
      <c r="B13" s="47">
        <f>B12+1</f>
        <v>46334.0</v>
      </c>
      <c r="C13" s="48" t="str">
        <f t="array" ref="C13">IFERROR(_xlfn.TEXTJOIN("  ·  ",TRUE,IF((cr_in_amt&gt;0)*((cr_in_date&gt;0)*(cr_in_date&lt;=$B13)*(((cr_in_rep="Once")+(cr_in_rep=""))*(cr_in_date=$B13)+(cr_in_rep="Every day")+(cr_in_rep="Weekly")*(MOD($B13-cr_in_date,7)=0)+(cr_in_rep="Every 2 weeks")*(MOD($B13-cr_in_date,14)=0)+(cr_in_rep="Monthly")*(((DAY(cr_in_date)=DAY($B13))+(DAY($B13)=DAY(EOMONTH($B13,0)))*(DAY(cr_in_date)&gt;DAY($B13)))&gt;0)+(cr_in_rep="Quarterly")*(((DAY(cr_in_date)=DAY($B13))+(DAY($B13)=DAY(EOMONTH($B13,0)))*(DAY(cr_in_date)&gt;DAY($B13)))&gt;0)*(MOD((YEAR($B13)-YEAR(cr_in_date))*12+MONTH($B13)-MONTH(cr_in_date),3)=0)))&gt;0,"+ "&amp;cr_in_name,""),IF((cr_out_amt&gt;0)*((cr_out_date&gt;0)*(cr_out_date&lt;=$B13)*(((cr_out_rep="Once")+(cr_out_rep=""))*(cr_out_date=$B13)+(cr_out_rep="Every day")+(cr_out_rep="Weekly")*(MOD($B13-cr_out_date,7)=0)+(cr_out_rep="Every 2 weeks")*(MOD($B13-cr_out_date,14)=0)+(cr_out_rep="Monthly")*(((DAY(cr_out_date)=DAY($B13))+(DAY($B13)=DAY(EOMONTH($B13,0)))*(DAY(cr_out_date)&gt;DAY($B13)))&gt;0)+(cr_out_rep="Quarterly")*(((DAY(cr_out_date)=DAY($B13))+(DAY($B13)=DAY(EOMONTH($B13,0)))*(DAY(cr_out_date)&gt;DAY($B13)))&gt;0)*(MOD((YEAR($B13)-YEAR(cr_out_date))*12+MONTH($B13)-MONTH(cr_out_date),3)=0)))&gt;0,cr_out_name,"")),"")</f>
        <v/>
      </c>
      <c r="D13" s="49">
        <f>SUMPRODUCT(cr_in_amt*(cr_in_date&gt;0)*(cr_in_date&lt;=$B13)*(((cr_in_rep="Once")+(cr_in_rep=""))*(cr_in_date=$B13)+(cr_in_rep="Every day")+(cr_in_rep="Weekly")*(MOD($B13-cr_in_date,7)=0)+(cr_in_rep="Every 2 weeks")*(MOD($B13-cr_in_date,14)=0)+(cr_in_rep="Monthly")*(((DAY(cr_in_date)=DAY($B13))+(DAY($B13)=DAY(EOMONTH($B13,0)))*(DAY(cr_in_date)&gt;DAY($B13)))&gt;0)+(cr_in_rep="Quarterly")*(((DAY(cr_in_date)=DAY($B13))+(DAY($B13)=DAY(EOMONTH($B13,0)))*(DAY(cr_in_date)&gt;DAY($B13)))&gt;0)*(MOD((YEAR($B13)-YEAR(cr_in_date))*12+MONTH($B13)-MONTH(cr_in_date),3)=0)))</f>
        <v>0.0</v>
      </c>
      <c r="E13" s="49">
        <f>SUMPRODUCT(cr_out_amt*(cr_out_date&gt;0)*(cr_out_date&lt;=$B13)*(((cr_out_rep="Once")+(cr_out_rep=""))*(cr_out_date=$B13)+(cr_out_rep="Every day")+(cr_out_rep="Weekly")*(MOD($B13-cr_out_date,7)=0)+(cr_out_rep="Every 2 weeks")*(MOD($B13-cr_out_date,14)=0)+(cr_out_rep="Monthly")*(((DAY(cr_out_date)=DAY($B13))+(DAY($B13)=DAY(EOMONTH($B13,0)))*(DAY(cr_out_date)&gt;DAY($B13)))&gt;0)+(cr_out_rep="Quarterly")*(((DAY(cr_out_date)=DAY($B13))+(DAY($B13)=DAY(EOMONTH($B13,0)))*(DAY(cr_out_date)&gt;DAY($B13)))&gt;0)*(MOD((YEAR($B13)-YEAR(cr_out_date))*12+MONTH($B13)-MONTH(cr_out_date),3)=0)))</f>
        <v>0.0</v>
      </c>
      <c r="F13" s="38">
        <f>F12+D13-E13</f>
        <v>10600.0</v>
      </c>
      <c r="G13" s="39">
        <f>F13-cr_floor</f>
        <v>5600.0</v>
      </c>
      <c r="H13" s="40">
        <f>F13-cr_big_amt*($B13&gt;=cr_big_date)*($B13&lt;cr_big_date+cr_late)</f>
        <v>10600.0</v>
      </c>
    </row>
    <row r="14" spans="2:8" s="1" customFormat="1">
      <c r="B14" s="41">
        <f>B13+1</f>
        <v>46335.0</v>
      </c>
      <c r="C14" s="42" t="str">
        <f t="array" ref="C14">IFERROR(_xlfn.TEXTJOIN("  ·  ",TRUE,IF((cr_in_amt&gt;0)*((cr_in_date&gt;0)*(cr_in_date&lt;=$B14)*(((cr_in_rep="Once")+(cr_in_rep=""))*(cr_in_date=$B14)+(cr_in_rep="Every day")+(cr_in_rep="Weekly")*(MOD($B14-cr_in_date,7)=0)+(cr_in_rep="Every 2 weeks")*(MOD($B14-cr_in_date,14)=0)+(cr_in_rep="Monthly")*(((DAY(cr_in_date)=DAY($B14))+(DAY($B14)=DAY(EOMONTH($B14,0)))*(DAY(cr_in_date)&gt;DAY($B14)))&gt;0)+(cr_in_rep="Quarterly")*(((DAY(cr_in_date)=DAY($B14))+(DAY($B14)=DAY(EOMONTH($B14,0)))*(DAY(cr_in_date)&gt;DAY($B14)))&gt;0)*(MOD((YEAR($B14)-YEAR(cr_in_date))*12+MONTH($B14)-MONTH(cr_in_date),3)=0)))&gt;0,"+ "&amp;cr_in_name,""),IF((cr_out_amt&gt;0)*((cr_out_date&gt;0)*(cr_out_date&lt;=$B14)*(((cr_out_rep="Once")+(cr_out_rep=""))*(cr_out_date=$B14)+(cr_out_rep="Every day")+(cr_out_rep="Weekly")*(MOD($B14-cr_out_date,7)=0)+(cr_out_rep="Every 2 weeks")*(MOD($B14-cr_out_date,14)=0)+(cr_out_rep="Monthly")*(((DAY(cr_out_date)=DAY($B14))+(DAY($B14)=DAY(EOMONTH($B14,0)))*(DAY(cr_out_date)&gt;DAY($B14)))&gt;0)+(cr_out_rep="Quarterly")*(((DAY(cr_out_date)=DAY($B14))+(DAY($B14)=DAY(EOMONTH($B14,0)))*(DAY(cr_out_date)&gt;DAY($B14)))&gt;0)*(MOD((YEAR($B14)-YEAR(cr_out_date))*12+MONTH($B14)-MONTH(cr_out_date),3)=0)))&gt;0,cr_out_name,"")),"")</f>
        <v>Card reader and software</v>
      </c>
      <c r="D14" s="43">
        <f>SUMPRODUCT(cr_in_amt*(cr_in_date&gt;0)*(cr_in_date&lt;=$B14)*(((cr_in_rep="Once")+(cr_in_rep=""))*(cr_in_date=$B14)+(cr_in_rep="Every day")+(cr_in_rep="Weekly")*(MOD($B14-cr_in_date,7)=0)+(cr_in_rep="Every 2 weeks")*(MOD($B14-cr_in_date,14)=0)+(cr_in_rep="Monthly")*(((DAY(cr_in_date)=DAY($B14))+(DAY($B14)=DAY(EOMONTH($B14,0)))*(DAY(cr_in_date)&gt;DAY($B14)))&gt;0)+(cr_in_rep="Quarterly")*(((DAY(cr_in_date)=DAY($B14))+(DAY($B14)=DAY(EOMONTH($B14,0)))*(DAY(cr_in_date)&gt;DAY($B14)))&gt;0)*(MOD((YEAR($B14)-YEAR(cr_in_date))*12+MONTH($B14)-MONTH(cr_in_date),3)=0)))</f>
        <v>0.0</v>
      </c>
      <c r="E14" s="43">
        <f>SUMPRODUCT(cr_out_amt*(cr_out_date&gt;0)*(cr_out_date&lt;=$B14)*(((cr_out_rep="Once")+(cr_out_rep=""))*(cr_out_date=$B14)+(cr_out_rep="Every day")+(cr_out_rep="Weekly")*(MOD($B14-cr_out_date,7)=0)+(cr_out_rep="Every 2 weeks")*(MOD($B14-cr_out_date,14)=0)+(cr_out_rep="Monthly")*(((DAY(cr_out_date)=DAY($B14))+(DAY($B14)=DAY(EOMONTH($B14,0)))*(DAY(cr_out_date)&gt;DAY($B14)))&gt;0)+(cr_out_rep="Quarterly")*(((DAY(cr_out_date)=DAY($B14))+(DAY($B14)=DAY(EOMONTH($B14,0)))*(DAY(cr_out_date)&gt;DAY($B14)))&gt;0)*(MOD((YEAR($B14)-YEAR(cr_out_date))*12+MONTH($B14)-MONTH(cr_out_date),3)=0)))</f>
        <v>190.0</v>
      </c>
      <c r="F14" s="44">
        <f>F13+D14-E14</f>
        <v>10410.0</v>
      </c>
      <c r="G14" s="45">
        <f>F14-cr_floor</f>
        <v>5410.0</v>
      </c>
      <c r="H14" s="46">
        <f>F14-cr_big_amt*($B14&gt;=cr_big_date)*($B14&lt;cr_big_date+cr_late)</f>
        <v>10410.0</v>
      </c>
    </row>
    <row r="15" spans="2:8" s="1" customFormat="1">
      <c r="B15" s="41">
        <f>B14+1</f>
        <v>46336.0</v>
      </c>
      <c r="C15" s="42" t="str">
        <f t="array" ref="C15">IFERROR(_xlfn.TEXTJOIN("  ·  ",TRUE,IF((cr_in_amt&gt;0)*((cr_in_date&gt;0)*(cr_in_date&lt;=$B15)*(((cr_in_rep="Once")+(cr_in_rep=""))*(cr_in_date=$B15)+(cr_in_rep="Every day")+(cr_in_rep="Weekly")*(MOD($B15-cr_in_date,7)=0)+(cr_in_rep="Every 2 weeks")*(MOD($B15-cr_in_date,14)=0)+(cr_in_rep="Monthly")*(((DAY(cr_in_date)=DAY($B15))+(DAY($B15)=DAY(EOMONTH($B15,0)))*(DAY(cr_in_date)&gt;DAY($B15)))&gt;0)+(cr_in_rep="Quarterly")*(((DAY(cr_in_date)=DAY($B15))+(DAY($B15)=DAY(EOMONTH($B15,0)))*(DAY(cr_in_date)&gt;DAY($B15)))&gt;0)*(MOD((YEAR($B15)-YEAR(cr_in_date))*12+MONTH($B15)-MONTH(cr_in_date),3)=0)))&gt;0,"+ "&amp;cr_in_name,""),IF((cr_out_amt&gt;0)*((cr_out_date&gt;0)*(cr_out_date&lt;=$B15)*(((cr_out_rep="Once")+(cr_out_rep=""))*(cr_out_date=$B15)+(cr_out_rep="Every day")+(cr_out_rep="Weekly")*(MOD($B15-cr_out_date,7)=0)+(cr_out_rep="Every 2 weeks")*(MOD($B15-cr_out_date,14)=0)+(cr_out_rep="Monthly")*(((DAY(cr_out_date)=DAY($B15))+(DAY($B15)=DAY(EOMONTH($B15,0)))*(DAY(cr_out_date)&gt;DAY($B15)))&gt;0)+(cr_out_rep="Quarterly")*(((DAY(cr_out_date)=DAY($B15))+(DAY($B15)=DAY(EOMONTH($B15,0)))*(DAY(cr_out_date)&gt;DAY($B15)))&gt;0)*(MOD((YEAR($B15)-YEAR(cr_out_date))*12+MONTH($B15)-MONTH(cr_out_date),3)=0)))&gt;0,cr_out_name,"")),"")</f>
        <v/>
      </c>
      <c r="D15" s="43">
        <f>SUMPRODUCT(cr_in_amt*(cr_in_date&gt;0)*(cr_in_date&lt;=$B15)*(((cr_in_rep="Once")+(cr_in_rep=""))*(cr_in_date=$B15)+(cr_in_rep="Every day")+(cr_in_rep="Weekly")*(MOD($B15-cr_in_date,7)=0)+(cr_in_rep="Every 2 weeks")*(MOD($B15-cr_in_date,14)=0)+(cr_in_rep="Monthly")*(((DAY(cr_in_date)=DAY($B15))+(DAY($B15)=DAY(EOMONTH($B15,0)))*(DAY(cr_in_date)&gt;DAY($B15)))&gt;0)+(cr_in_rep="Quarterly")*(((DAY(cr_in_date)=DAY($B15))+(DAY($B15)=DAY(EOMONTH($B15,0)))*(DAY(cr_in_date)&gt;DAY($B15)))&gt;0)*(MOD((YEAR($B15)-YEAR(cr_in_date))*12+MONTH($B15)-MONTH(cr_in_date),3)=0)))</f>
        <v>0.0</v>
      </c>
      <c r="E15" s="43">
        <f>SUMPRODUCT(cr_out_amt*(cr_out_date&gt;0)*(cr_out_date&lt;=$B15)*(((cr_out_rep="Once")+(cr_out_rep=""))*(cr_out_date=$B15)+(cr_out_rep="Every day")+(cr_out_rep="Weekly")*(MOD($B15-cr_out_date,7)=0)+(cr_out_rep="Every 2 weeks")*(MOD($B15-cr_out_date,14)=0)+(cr_out_rep="Monthly")*(((DAY(cr_out_date)=DAY($B15))+(DAY($B15)=DAY(EOMONTH($B15,0)))*(DAY(cr_out_date)&gt;DAY($B15)))&gt;0)+(cr_out_rep="Quarterly")*(((DAY(cr_out_date)=DAY($B15))+(DAY($B15)=DAY(EOMONTH($B15,0)))*(DAY(cr_out_date)&gt;DAY($B15)))&gt;0)*(MOD((YEAR($B15)-YEAR(cr_out_date))*12+MONTH($B15)-MONTH(cr_out_date),3)=0)))</f>
        <v>0.0</v>
      </c>
      <c r="F15" s="44">
        <f>F14+D15-E15</f>
        <v>10410.0</v>
      </c>
      <c r="G15" s="45">
        <f>F15-cr_floor</f>
        <v>5410.0</v>
      </c>
      <c r="H15" s="46">
        <f>F15-cr_big_amt*($B15&gt;=cr_big_date)*($B15&lt;cr_big_date+cr_late)</f>
        <v>10410.0</v>
      </c>
    </row>
    <row r="16" spans="2:8" s="1" customFormat="1">
      <c r="B16" s="41">
        <f>B15+1</f>
        <v>46337.0</v>
      </c>
      <c r="C16" s="42" t="str">
        <f t="array" ref="C16">IFERROR(_xlfn.TEXTJOIN("  ·  ",TRUE,IF((cr_in_amt&gt;0)*((cr_in_date&gt;0)*(cr_in_date&lt;=$B16)*(((cr_in_rep="Once")+(cr_in_rep=""))*(cr_in_date=$B16)+(cr_in_rep="Every day")+(cr_in_rep="Weekly")*(MOD($B16-cr_in_date,7)=0)+(cr_in_rep="Every 2 weeks")*(MOD($B16-cr_in_date,14)=0)+(cr_in_rep="Monthly")*(((DAY(cr_in_date)=DAY($B16))+(DAY($B16)=DAY(EOMONTH($B16,0)))*(DAY(cr_in_date)&gt;DAY($B16)))&gt;0)+(cr_in_rep="Quarterly")*(((DAY(cr_in_date)=DAY($B16))+(DAY($B16)=DAY(EOMONTH($B16,0)))*(DAY(cr_in_date)&gt;DAY($B16)))&gt;0)*(MOD((YEAR($B16)-YEAR(cr_in_date))*12+MONTH($B16)-MONTH(cr_in_date),3)=0)))&gt;0,"+ "&amp;cr_in_name,""),IF((cr_out_amt&gt;0)*((cr_out_date&gt;0)*(cr_out_date&lt;=$B16)*(((cr_out_rep="Once")+(cr_out_rep=""))*(cr_out_date=$B16)+(cr_out_rep="Every day")+(cr_out_rep="Weekly")*(MOD($B16-cr_out_date,7)=0)+(cr_out_rep="Every 2 weeks")*(MOD($B16-cr_out_date,14)=0)+(cr_out_rep="Monthly")*(((DAY(cr_out_date)=DAY($B16))+(DAY($B16)=DAY(EOMONTH($B16,0)))*(DAY(cr_out_date)&gt;DAY($B16)))&gt;0)+(cr_out_rep="Quarterly")*(((DAY(cr_out_date)=DAY($B16))+(DAY($B16)=DAY(EOMONTH($B16,0)))*(DAY(cr_out_date)&gt;DAY($B16)))&gt;0)*(MOD((YEAR($B16)-YEAR(cr_out_date))*12+MONTH($B16)-MONTH(cr_out_date),3)=0)))&gt;0,cr_out_name,"")),"")</f>
        <v/>
      </c>
      <c r="D16" s="43">
        <f>SUMPRODUCT(cr_in_amt*(cr_in_date&gt;0)*(cr_in_date&lt;=$B16)*(((cr_in_rep="Once")+(cr_in_rep=""))*(cr_in_date=$B16)+(cr_in_rep="Every day")+(cr_in_rep="Weekly")*(MOD($B16-cr_in_date,7)=0)+(cr_in_rep="Every 2 weeks")*(MOD($B16-cr_in_date,14)=0)+(cr_in_rep="Monthly")*(((DAY(cr_in_date)=DAY($B16))+(DAY($B16)=DAY(EOMONTH($B16,0)))*(DAY(cr_in_date)&gt;DAY($B16)))&gt;0)+(cr_in_rep="Quarterly")*(((DAY(cr_in_date)=DAY($B16))+(DAY($B16)=DAY(EOMONTH($B16,0)))*(DAY(cr_in_date)&gt;DAY($B16)))&gt;0)*(MOD((YEAR($B16)-YEAR(cr_in_date))*12+MONTH($B16)-MONTH(cr_in_date),3)=0)))</f>
        <v>0.0</v>
      </c>
      <c r="E16" s="43">
        <f>SUMPRODUCT(cr_out_amt*(cr_out_date&gt;0)*(cr_out_date&lt;=$B16)*(((cr_out_rep="Once")+(cr_out_rep=""))*(cr_out_date=$B16)+(cr_out_rep="Every day")+(cr_out_rep="Weekly")*(MOD($B16-cr_out_date,7)=0)+(cr_out_rep="Every 2 weeks")*(MOD($B16-cr_out_date,14)=0)+(cr_out_rep="Monthly")*(((DAY(cr_out_date)=DAY($B16))+(DAY($B16)=DAY(EOMONTH($B16,0)))*(DAY(cr_out_date)&gt;DAY($B16)))&gt;0)+(cr_out_rep="Quarterly")*(((DAY(cr_out_date)=DAY($B16))+(DAY($B16)=DAY(EOMONTH($B16,0)))*(DAY(cr_out_date)&gt;DAY($B16)))&gt;0)*(MOD((YEAR($B16)-YEAR(cr_out_date))*12+MONTH($B16)-MONTH(cr_out_date),3)=0)))</f>
        <v>0.0</v>
      </c>
      <c r="F16" s="44">
        <f>F15+D16-E16</f>
        <v>10410.0</v>
      </c>
      <c r="G16" s="45">
        <f>F16-cr_floor</f>
        <v>5410.0</v>
      </c>
      <c r="H16" s="46">
        <f>F16-cr_big_amt*($B16&gt;=cr_big_date)*($B16&lt;cr_big_date+cr_late)</f>
        <v>10410.0</v>
      </c>
    </row>
    <row r="17" spans="2:8" s="1" customFormat="1">
      <c r="B17" s="41">
        <f>B16+1</f>
        <v>46338.0</v>
      </c>
      <c r="C17" s="42" t="str">
        <f t="array" ref="C17">IFERROR(_xlfn.TEXTJOIN("  ·  ",TRUE,IF((cr_in_amt&gt;0)*((cr_in_date&gt;0)*(cr_in_date&lt;=$B17)*(((cr_in_rep="Once")+(cr_in_rep=""))*(cr_in_date=$B17)+(cr_in_rep="Every day")+(cr_in_rep="Weekly")*(MOD($B17-cr_in_date,7)=0)+(cr_in_rep="Every 2 weeks")*(MOD($B17-cr_in_date,14)=0)+(cr_in_rep="Monthly")*(((DAY(cr_in_date)=DAY($B17))+(DAY($B17)=DAY(EOMONTH($B17,0)))*(DAY(cr_in_date)&gt;DAY($B17)))&gt;0)+(cr_in_rep="Quarterly")*(((DAY(cr_in_date)=DAY($B17))+(DAY($B17)=DAY(EOMONTH($B17,0)))*(DAY(cr_in_date)&gt;DAY($B17)))&gt;0)*(MOD((YEAR($B17)-YEAR(cr_in_date))*12+MONTH($B17)-MONTH(cr_in_date),3)=0)))&gt;0,"+ "&amp;cr_in_name,""),IF((cr_out_amt&gt;0)*((cr_out_date&gt;0)*(cr_out_date&lt;=$B17)*(((cr_out_rep="Once")+(cr_out_rep=""))*(cr_out_date=$B17)+(cr_out_rep="Every day")+(cr_out_rep="Weekly")*(MOD($B17-cr_out_date,7)=0)+(cr_out_rep="Every 2 weeks")*(MOD($B17-cr_out_date,14)=0)+(cr_out_rep="Monthly")*(((DAY(cr_out_date)=DAY($B17))+(DAY($B17)=DAY(EOMONTH($B17,0)))*(DAY(cr_out_date)&gt;DAY($B17)))&gt;0)+(cr_out_rep="Quarterly")*(((DAY(cr_out_date)=DAY($B17))+(DAY($B17)=DAY(EOMONTH($B17,0)))*(DAY(cr_out_date)&gt;DAY($B17)))&gt;0)*(MOD((YEAR($B17)-YEAR(cr_out_date))*12+MONTH($B17)-MONTH(cr_out_date),3)=0)))&gt;0,cr_out_name,"")),"")</f>
        <v/>
      </c>
      <c r="D17" s="43">
        <f>SUMPRODUCT(cr_in_amt*(cr_in_date&gt;0)*(cr_in_date&lt;=$B17)*(((cr_in_rep="Once")+(cr_in_rep=""))*(cr_in_date=$B17)+(cr_in_rep="Every day")+(cr_in_rep="Weekly")*(MOD($B17-cr_in_date,7)=0)+(cr_in_rep="Every 2 weeks")*(MOD($B17-cr_in_date,14)=0)+(cr_in_rep="Monthly")*(((DAY(cr_in_date)=DAY($B17))+(DAY($B17)=DAY(EOMONTH($B17,0)))*(DAY(cr_in_date)&gt;DAY($B17)))&gt;0)+(cr_in_rep="Quarterly")*(((DAY(cr_in_date)=DAY($B17))+(DAY($B17)=DAY(EOMONTH($B17,0)))*(DAY(cr_in_date)&gt;DAY($B17)))&gt;0)*(MOD((YEAR($B17)-YEAR(cr_in_date))*12+MONTH($B17)-MONTH(cr_in_date),3)=0)))</f>
        <v>0.0</v>
      </c>
      <c r="E17" s="43">
        <f>SUMPRODUCT(cr_out_amt*(cr_out_date&gt;0)*(cr_out_date&lt;=$B17)*(((cr_out_rep="Once")+(cr_out_rep=""))*(cr_out_date=$B17)+(cr_out_rep="Every day")+(cr_out_rep="Weekly")*(MOD($B17-cr_out_date,7)=0)+(cr_out_rep="Every 2 weeks")*(MOD($B17-cr_out_date,14)=0)+(cr_out_rep="Monthly")*(((DAY(cr_out_date)=DAY($B17))+(DAY($B17)=DAY(EOMONTH($B17,0)))*(DAY(cr_out_date)&gt;DAY($B17)))&gt;0)+(cr_out_rep="Quarterly")*(((DAY(cr_out_date)=DAY($B17))+(DAY($B17)=DAY(EOMONTH($B17,0)))*(DAY(cr_out_date)&gt;DAY($B17)))&gt;0)*(MOD((YEAR($B17)-YEAR(cr_out_date))*12+MONTH($B17)-MONTH(cr_out_date),3)=0)))</f>
        <v>0.0</v>
      </c>
      <c r="F17" s="44">
        <f>F16+D17-E17</f>
        <v>10410.0</v>
      </c>
      <c r="G17" s="45">
        <f>F17-cr_floor</f>
        <v>5410.0</v>
      </c>
      <c r="H17" s="46">
        <f>F17-cr_big_amt*($B17&gt;=cr_big_date)*($B17&lt;cr_big_date+cr_late)</f>
        <v>10410.0</v>
      </c>
    </row>
    <row r="18" spans="2:8" s="1" customFormat="1">
      <c r="B18" s="41">
        <f>B17+1</f>
        <v>46339.0</v>
      </c>
      <c r="C18" s="42" t="str">
        <f t="array" ref="C18">IFERROR(_xlfn.TEXTJOIN("  ·  ",TRUE,IF((cr_in_amt&gt;0)*((cr_in_date&gt;0)*(cr_in_date&lt;=$B18)*(((cr_in_rep="Once")+(cr_in_rep=""))*(cr_in_date=$B18)+(cr_in_rep="Every day")+(cr_in_rep="Weekly")*(MOD($B18-cr_in_date,7)=0)+(cr_in_rep="Every 2 weeks")*(MOD($B18-cr_in_date,14)=0)+(cr_in_rep="Monthly")*(((DAY(cr_in_date)=DAY($B18))+(DAY($B18)=DAY(EOMONTH($B18,0)))*(DAY(cr_in_date)&gt;DAY($B18)))&gt;0)+(cr_in_rep="Quarterly")*(((DAY(cr_in_date)=DAY($B18))+(DAY($B18)=DAY(EOMONTH($B18,0)))*(DAY(cr_in_date)&gt;DAY($B18)))&gt;0)*(MOD((YEAR($B18)-YEAR(cr_in_date))*12+MONTH($B18)-MONTH(cr_in_date),3)=0)))&gt;0,"+ "&amp;cr_in_name,""),IF((cr_out_amt&gt;0)*((cr_out_date&gt;0)*(cr_out_date&lt;=$B18)*(((cr_out_rep="Once")+(cr_out_rep=""))*(cr_out_date=$B18)+(cr_out_rep="Every day")+(cr_out_rep="Weekly")*(MOD($B18-cr_out_date,7)=0)+(cr_out_rep="Every 2 weeks")*(MOD($B18-cr_out_date,14)=0)+(cr_out_rep="Monthly")*(((DAY(cr_out_date)=DAY($B18))+(DAY($B18)=DAY(EOMONTH($B18,0)))*(DAY(cr_out_date)&gt;DAY($B18)))&gt;0)+(cr_out_rep="Quarterly")*(((DAY(cr_out_date)=DAY($B18))+(DAY($B18)=DAY(EOMONTH($B18,0)))*(DAY(cr_out_date)&gt;DAY($B18)))&gt;0)*(MOD((YEAR($B18)-YEAR(cr_out_date))*12+MONTH($B18)-MONTH(cr_out_date),3)=0)))&gt;0,cr_out_name,"")),"")</f>
        <v>+ Shop takings (typical week)</v>
      </c>
      <c r="D18" s="43">
        <f>SUMPRODUCT(cr_in_amt*(cr_in_date&gt;0)*(cr_in_date&lt;=$B18)*(((cr_in_rep="Once")+(cr_in_rep=""))*(cr_in_date=$B18)+(cr_in_rep="Every day")+(cr_in_rep="Weekly")*(MOD($B18-cr_in_date,7)=0)+(cr_in_rep="Every 2 weeks")*(MOD($B18-cr_in_date,14)=0)+(cr_in_rep="Monthly")*(((DAY(cr_in_date)=DAY($B18))+(DAY($B18)=DAY(EOMONTH($B18,0)))*(DAY(cr_in_date)&gt;DAY($B18)))&gt;0)+(cr_in_rep="Quarterly")*(((DAY(cr_in_date)=DAY($B18))+(DAY($B18)=DAY(EOMONTH($B18,0)))*(DAY(cr_in_date)&gt;DAY($B18)))&gt;0)*(MOD((YEAR($B18)-YEAR(cr_in_date))*12+MONTH($B18)-MONTH(cr_in_date),3)=0)))</f>
        <v>2600.0</v>
      </c>
      <c r="E18" s="43">
        <f>SUMPRODUCT(cr_out_amt*(cr_out_date&gt;0)*(cr_out_date&lt;=$B18)*(((cr_out_rep="Once")+(cr_out_rep=""))*(cr_out_date=$B18)+(cr_out_rep="Every day")+(cr_out_rep="Weekly")*(MOD($B18-cr_out_date,7)=0)+(cr_out_rep="Every 2 weeks")*(MOD($B18-cr_out_date,14)=0)+(cr_out_rep="Monthly")*(((DAY(cr_out_date)=DAY($B18))+(DAY($B18)=DAY(EOMONTH($B18,0)))*(DAY(cr_out_date)&gt;DAY($B18)))&gt;0)+(cr_out_rep="Quarterly")*(((DAY(cr_out_date)=DAY($B18))+(DAY($B18)=DAY(EOMONTH($B18,0)))*(DAY(cr_out_date)&gt;DAY($B18)))&gt;0)*(MOD((YEAR($B18)-YEAR(cr_out_date))*12+MONTH($B18)-MONTH(cr_out_date),3)=0)))</f>
        <v>0.0</v>
      </c>
      <c r="F18" s="44">
        <f>F17+D18-E18</f>
        <v>13010.0</v>
      </c>
      <c r="G18" s="45">
        <f>F18-cr_floor</f>
        <v>8010.0</v>
      </c>
      <c r="H18" s="46">
        <f>F18-cr_big_amt*($B18&gt;=cr_big_date)*($B18&lt;cr_big_date+cr_late)</f>
        <v>13010.0</v>
      </c>
    </row>
    <row r="19" spans="2:8" s="1" customFormat="1">
      <c r="B19" s="41">
        <f>B18+1</f>
        <v>46340.0</v>
      </c>
      <c r="C19" s="42" t="str">
        <f t="array" ref="C19">IFERROR(_xlfn.TEXTJOIN("  ·  ",TRUE,IF((cr_in_amt&gt;0)*((cr_in_date&gt;0)*(cr_in_date&lt;=$B19)*(((cr_in_rep="Once")+(cr_in_rep=""))*(cr_in_date=$B19)+(cr_in_rep="Every day")+(cr_in_rep="Weekly")*(MOD($B19-cr_in_date,7)=0)+(cr_in_rep="Every 2 weeks")*(MOD($B19-cr_in_date,14)=0)+(cr_in_rep="Monthly")*(((DAY(cr_in_date)=DAY($B19))+(DAY($B19)=DAY(EOMONTH($B19,0)))*(DAY(cr_in_date)&gt;DAY($B19)))&gt;0)+(cr_in_rep="Quarterly")*(((DAY(cr_in_date)=DAY($B19))+(DAY($B19)=DAY(EOMONTH($B19,0)))*(DAY(cr_in_date)&gt;DAY($B19)))&gt;0)*(MOD((YEAR($B19)-YEAR(cr_in_date))*12+MONTH($B19)-MONTH(cr_in_date),3)=0)))&gt;0,"+ "&amp;cr_in_name,""),IF((cr_out_amt&gt;0)*((cr_out_date&gt;0)*(cr_out_date&lt;=$B19)*(((cr_out_rep="Once")+(cr_out_rep=""))*(cr_out_date=$B19)+(cr_out_rep="Every day")+(cr_out_rep="Weekly")*(MOD($B19-cr_out_date,7)=0)+(cr_out_rep="Every 2 weeks")*(MOD($B19-cr_out_date,14)=0)+(cr_out_rep="Monthly")*(((DAY(cr_out_date)=DAY($B19))+(DAY($B19)=DAY(EOMONTH($B19,0)))*(DAY(cr_out_date)&gt;DAY($B19)))&gt;0)+(cr_out_rep="Quarterly")*(((DAY(cr_out_date)=DAY($B19))+(DAY($B19)=DAY(EOMONTH($B19,0)))*(DAY(cr_out_date)&gt;DAY($B19)))&gt;0)*(MOD((YEAR($B19)-YEAR(cr_out_date))*12+MONTH($B19)-MONTH(cr_out_date),3)=0)))&gt;0,cr_out_name,"")),"")</f>
        <v/>
      </c>
      <c r="D19" s="43">
        <f>SUMPRODUCT(cr_in_amt*(cr_in_date&gt;0)*(cr_in_date&lt;=$B19)*(((cr_in_rep="Once")+(cr_in_rep=""))*(cr_in_date=$B19)+(cr_in_rep="Every day")+(cr_in_rep="Weekly")*(MOD($B19-cr_in_date,7)=0)+(cr_in_rep="Every 2 weeks")*(MOD($B19-cr_in_date,14)=0)+(cr_in_rep="Monthly")*(((DAY(cr_in_date)=DAY($B19))+(DAY($B19)=DAY(EOMONTH($B19,0)))*(DAY(cr_in_date)&gt;DAY($B19)))&gt;0)+(cr_in_rep="Quarterly")*(((DAY(cr_in_date)=DAY($B19))+(DAY($B19)=DAY(EOMONTH($B19,0)))*(DAY(cr_in_date)&gt;DAY($B19)))&gt;0)*(MOD((YEAR($B19)-YEAR(cr_in_date))*12+MONTH($B19)-MONTH(cr_in_date),3)=0)))</f>
        <v>0.0</v>
      </c>
      <c r="E19" s="43">
        <f>SUMPRODUCT(cr_out_amt*(cr_out_date&gt;0)*(cr_out_date&lt;=$B19)*(((cr_out_rep="Once")+(cr_out_rep=""))*(cr_out_date=$B19)+(cr_out_rep="Every day")+(cr_out_rep="Weekly")*(MOD($B19-cr_out_date,7)=0)+(cr_out_rep="Every 2 weeks")*(MOD($B19-cr_out_date,14)=0)+(cr_out_rep="Monthly")*(((DAY(cr_out_date)=DAY($B19))+(DAY($B19)=DAY(EOMONTH($B19,0)))*(DAY(cr_out_date)&gt;DAY($B19)))&gt;0)+(cr_out_rep="Quarterly")*(((DAY(cr_out_date)=DAY($B19))+(DAY($B19)=DAY(EOMONTH($B19,0)))*(DAY(cr_out_date)&gt;DAY($B19)))&gt;0)*(MOD((YEAR($B19)-YEAR(cr_out_date))*12+MONTH($B19)-MONTH(cr_out_date),3)=0)))</f>
        <v>0.0</v>
      </c>
      <c r="F19" s="44">
        <f>F18+D19-E19</f>
        <v>13010.0</v>
      </c>
      <c r="G19" s="45">
        <f>F19-cr_floor</f>
        <v>8010.0</v>
      </c>
      <c r="H19" s="46">
        <f>F19-cr_big_amt*($B19&gt;=cr_big_date)*($B19&lt;cr_big_date+cr_late)</f>
        <v>13010.0</v>
      </c>
    </row>
    <row r="20" spans="2:8" s="1" customFormat="1">
      <c r="B20" s="47">
        <f>B19+1</f>
        <v>46341.0</v>
      </c>
      <c r="C20" s="48" t="str">
        <f t="array" ref="C20">IFERROR(_xlfn.TEXTJOIN("  ·  ",TRUE,IF((cr_in_amt&gt;0)*((cr_in_date&gt;0)*(cr_in_date&lt;=$B20)*(((cr_in_rep="Once")+(cr_in_rep=""))*(cr_in_date=$B20)+(cr_in_rep="Every day")+(cr_in_rep="Weekly")*(MOD($B20-cr_in_date,7)=0)+(cr_in_rep="Every 2 weeks")*(MOD($B20-cr_in_date,14)=0)+(cr_in_rep="Monthly")*(((DAY(cr_in_date)=DAY($B20))+(DAY($B20)=DAY(EOMONTH($B20,0)))*(DAY(cr_in_date)&gt;DAY($B20)))&gt;0)+(cr_in_rep="Quarterly")*(((DAY(cr_in_date)=DAY($B20))+(DAY($B20)=DAY(EOMONTH($B20,0)))*(DAY(cr_in_date)&gt;DAY($B20)))&gt;0)*(MOD((YEAR($B20)-YEAR(cr_in_date))*12+MONTH($B20)-MONTH(cr_in_date),3)=0)))&gt;0,"+ "&amp;cr_in_name,""),IF((cr_out_amt&gt;0)*((cr_out_date&gt;0)*(cr_out_date&lt;=$B20)*(((cr_out_rep="Once")+(cr_out_rep=""))*(cr_out_date=$B20)+(cr_out_rep="Every day")+(cr_out_rep="Weekly")*(MOD($B20-cr_out_date,7)=0)+(cr_out_rep="Every 2 weeks")*(MOD($B20-cr_out_date,14)=0)+(cr_out_rep="Monthly")*(((DAY(cr_out_date)=DAY($B20))+(DAY($B20)=DAY(EOMONTH($B20,0)))*(DAY(cr_out_date)&gt;DAY($B20)))&gt;0)+(cr_out_rep="Quarterly")*(((DAY(cr_out_date)=DAY($B20))+(DAY($B20)=DAY(EOMONTH($B20,0)))*(DAY(cr_out_date)&gt;DAY($B20)))&gt;0)*(MOD((YEAR($B20)-YEAR(cr_out_date))*12+MONTH($B20)-MONTH(cr_out_date),3)=0)))&gt;0,cr_out_name,"")),"")</f>
        <v>Glass supplier</v>
      </c>
      <c r="D20" s="49">
        <f>SUMPRODUCT(cr_in_amt*(cr_in_date&gt;0)*(cr_in_date&lt;=$B20)*(((cr_in_rep="Once")+(cr_in_rep=""))*(cr_in_date=$B20)+(cr_in_rep="Every day")+(cr_in_rep="Weekly")*(MOD($B20-cr_in_date,7)=0)+(cr_in_rep="Every 2 weeks")*(MOD($B20-cr_in_date,14)=0)+(cr_in_rep="Monthly")*(((DAY(cr_in_date)=DAY($B20))+(DAY($B20)=DAY(EOMONTH($B20,0)))*(DAY(cr_in_date)&gt;DAY($B20)))&gt;0)+(cr_in_rep="Quarterly")*(((DAY(cr_in_date)=DAY($B20))+(DAY($B20)=DAY(EOMONTH($B20,0)))*(DAY(cr_in_date)&gt;DAY($B20)))&gt;0)*(MOD((YEAR($B20)-YEAR(cr_in_date))*12+MONTH($B20)-MONTH(cr_in_date),3)=0)))</f>
        <v>0.0</v>
      </c>
      <c r="E20" s="49">
        <f>SUMPRODUCT(cr_out_amt*(cr_out_date&gt;0)*(cr_out_date&lt;=$B20)*(((cr_out_rep="Once")+(cr_out_rep=""))*(cr_out_date=$B20)+(cr_out_rep="Every day")+(cr_out_rep="Weekly")*(MOD($B20-cr_out_date,7)=0)+(cr_out_rep="Every 2 weeks")*(MOD($B20-cr_out_date,14)=0)+(cr_out_rep="Monthly")*(((DAY(cr_out_date)=DAY($B20))+(DAY($B20)=DAY(EOMONTH($B20,0)))*(DAY(cr_out_date)&gt;DAY($B20)))&gt;0)+(cr_out_rep="Quarterly")*(((DAY(cr_out_date)=DAY($B20))+(DAY($B20)=DAY(EOMONTH($B20,0)))*(DAY(cr_out_date)&gt;DAY($B20)))&gt;0)*(MOD((YEAR($B20)-YEAR(cr_out_date))*12+MONTH($B20)-MONTH(cr_out_date),3)=0)))</f>
        <v>1850.0</v>
      </c>
      <c r="F20" s="38">
        <f>F19+D20-E20</f>
        <v>11160.0</v>
      </c>
      <c r="G20" s="39">
        <f>F20-cr_floor</f>
        <v>6160.0</v>
      </c>
      <c r="H20" s="40">
        <f>F20-cr_big_amt*($B20&gt;=cr_big_date)*($B20&lt;cr_big_date+cr_late)</f>
        <v>11160.0</v>
      </c>
    </row>
    <row r="21" spans="2:8" s="1" customFormat="1">
      <c r="B21" s="41">
        <f>B20+1</f>
        <v>46342.0</v>
      </c>
      <c r="C21" s="42" t="str">
        <f t="array" ref="C21">IFERROR(_xlfn.TEXTJOIN("  ·  ",TRUE,IF((cr_in_amt&gt;0)*((cr_in_date&gt;0)*(cr_in_date&lt;=$B21)*(((cr_in_rep="Once")+(cr_in_rep=""))*(cr_in_date=$B21)+(cr_in_rep="Every day")+(cr_in_rep="Weekly")*(MOD($B21-cr_in_date,7)=0)+(cr_in_rep="Every 2 weeks")*(MOD($B21-cr_in_date,14)=0)+(cr_in_rep="Monthly")*(((DAY(cr_in_date)=DAY($B21))+(DAY($B21)=DAY(EOMONTH($B21,0)))*(DAY(cr_in_date)&gt;DAY($B21)))&gt;0)+(cr_in_rep="Quarterly")*(((DAY(cr_in_date)=DAY($B21))+(DAY($B21)=DAY(EOMONTH($B21,0)))*(DAY(cr_in_date)&gt;DAY($B21)))&gt;0)*(MOD((YEAR($B21)-YEAR(cr_in_date))*12+MONTH($B21)-MONTH(cr_in_date),3)=0)))&gt;0,"+ "&amp;cr_in_name,""),IF((cr_out_amt&gt;0)*((cr_out_date&gt;0)*(cr_out_date&lt;=$B21)*(((cr_out_rep="Once")+(cr_out_rep=""))*(cr_out_date=$B21)+(cr_out_rep="Every day")+(cr_out_rep="Weekly")*(MOD($B21-cr_out_date,7)=0)+(cr_out_rep="Every 2 weeks")*(MOD($B21-cr_out_date,14)=0)+(cr_out_rep="Monthly")*(((DAY(cr_out_date)=DAY($B21))+(DAY($B21)=DAY(EOMONTH($B21,0)))*(DAY(cr_out_date)&gt;DAY($B21)))&gt;0)+(cr_out_rep="Quarterly")*(((DAY(cr_out_date)=DAY($B21))+(DAY($B21)=DAY(EOMONTH($B21,0)))*(DAY(cr_out_date)&gt;DAY($B21)))&gt;0)*(MOD((YEAR($B21)-YEAR(cr_out_date))*12+MONTH($B21)-MONTH(cr_out_date),3)=0)))&gt;0,cr_out_name,"")),"")</f>
        <v/>
      </c>
      <c r="D21" s="43">
        <f>SUMPRODUCT(cr_in_amt*(cr_in_date&gt;0)*(cr_in_date&lt;=$B21)*(((cr_in_rep="Once")+(cr_in_rep=""))*(cr_in_date=$B21)+(cr_in_rep="Every day")+(cr_in_rep="Weekly")*(MOD($B21-cr_in_date,7)=0)+(cr_in_rep="Every 2 weeks")*(MOD($B21-cr_in_date,14)=0)+(cr_in_rep="Monthly")*(((DAY(cr_in_date)=DAY($B21))+(DAY($B21)=DAY(EOMONTH($B21,0)))*(DAY(cr_in_date)&gt;DAY($B21)))&gt;0)+(cr_in_rep="Quarterly")*(((DAY(cr_in_date)=DAY($B21))+(DAY($B21)=DAY(EOMONTH($B21,0)))*(DAY(cr_in_date)&gt;DAY($B21)))&gt;0)*(MOD((YEAR($B21)-YEAR(cr_in_date))*12+MONTH($B21)-MONTH(cr_in_date),3)=0)))</f>
        <v>0.0</v>
      </c>
      <c r="E21" s="43">
        <f>SUMPRODUCT(cr_out_amt*(cr_out_date&gt;0)*(cr_out_date&lt;=$B21)*(((cr_out_rep="Once")+(cr_out_rep=""))*(cr_out_date=$B21)+(cr_out_rep="Every day")+(cr_out_rep="Weekly")*(MOD($B21-cr_out_date,7)=0)+(cr_out_rep="Every 2 weeks")*(MOD($B21-cr_out_date,14)=0)+(cr_out_rep="Monthly")*(((DAY(cr_out_date)=DAY($B21))+(DAY($B21)=DAY(EOMONTH($B21,0)))*(DAY(cr_out_date)&gt;DAY($B21)))&gt;0)+(cr_out_rep="Quarterly")*(((DAY(cr_out_date)=DAY($B21))+(DAY($B21)=DAY(EOMONTH($B21,0)))*(DAY(cr_out_date)&gt;DAY($B21)))&gt;0)*(MOD((YEAR($B21)-YEAR(cr_out_date))*12+MONTH($B21)-MONTH(cr_out_date),3)=0)))</f>
        <v>0.0</v>
      </c>
      <c r="F21" s="44">
        <f>F20+D21-E21</f>
        <v>11160.0</v>
      </c>
      <c r="G21" s="45">
        <f>F21-cr_floor</f>
        <v>6160.0</v>
      </c>
      <c r="H21" s="46">
        <f>F21-cr_big_amt*($B21&gt;=cr_big_date)*($B21&lt;cr_big_date+cr_late)</f>
        <v>11160.0</v>
      </c>
    </row>
    <row r="22" spans="2:8" s="1" customFormat="1">
      <c r="B22" s="41">
        <f>B21+1</f>
        <v>46343.0</v>
      </c>
      <c r="C22" s="42" t="str">
        <f t="array" ref="C22">IFERROR(_xlfn.TEXTJOIN("  ·  ",TRUE,IF((cr_in_amt&gt;0)*((cr_in_date&gt;0)*(cr_in_date&lt;=$B22)*(((cr_in_rep="Once")+(cr_in_rep=""))*(cr_in_date=$B22)+(cr_in_rep="Every day")+(cr_in_rep="Weekly")*(MOD($B22-cr_in_date,7)=0)+(cr_in_rep="Every 2 weeks")*(MOD($B22-cr_in_date,14)=0)+(cr_in_rep="Monthly")*(((DAY(cr_in_date)=DAY($B22))+(DAY($B22)=DAY(EOMONTH($B22,0)))*(DAY(cr_in_date)&gt;DAY($B22)))&gt;0)+(cr_in_rep="Quarterly")*(((DAY(cr_in_date)=DAY($B22))+(DAY($B22)=DAY(EOMONTH($B22,0)))*(DAY(cr_in_date)&gt;DAY($B22)))&gt;0)*(MOD((YEAR($B22)-YEAR(cr_in_date))*12+MONTH($B22)-MONTH(cr_in_date),3)=0)))&gt;0,"+ "&amp;cr_in_name,""),IF((cr_out_amt&gt;0)*((cr_out_date&gt;0)*(cr_out_date&lt;=$B22)*(((cr_out_rep="Once")+(cr_out_rep=""))*(cr_out_date=$B22)+(cr_out_rep="Every day")+(cr_out_rep="Weekly")*(MOD($B22-cr_out_date,7)=0)+(cr_out_rep="Every 2 weeks")*(MOD($B22-cr_out_date,14)=0)+(cr_out_rep="Monthly")*(((DAY(cr_out_date)=DAY($B22))+(DAY($B22)=DAY(EOMONTH($B22,0)))*(DAY(cr_out_date)&gt;DAY($B22)))&gt;0)+(cr_out_rep="Quarterly")*(((DAY(cr_out_date)=DAY($B22))+(DAY($B22)=DAY(EOMONTH($B22,0)))*(DAY(cr_out_date)&gt;DAY($B22)))&gt;0)*(MOD((YEAR($B22)-YEAR(cr_out_date))*12+MONTH($B22)-MONTH(cr_out_date),3)=0)))&gt;0,cr_out_name,"")),"")</f>
        <v/>
      </c>
      <c r="D22" s="43">
        <f>SUMPRODUCT(cr_in_amt*(cr_in_date&gt;0)*(cr_in_date&lt;=$B22)*(((cr_in_rep="Once")+(cr_in_rep=""))*(cr_in_date=$B22)+(cr_in_rep="Every day")+(cr_in_rep="Weekly")*(MOD($B22-cr_in_date,7)=0)+(cr_in_rep="Every 2 weeks")*(MOD($B22-cr_in_date,14)=0)+(cr_in_rep="Monthly")*(((DAY(cr_in_date)=DAY($B22))+(DAY($B22)=DAY(EOMONTH($B22,0)))*(DAY(cr_in_date)&gt;DAY($B22)))&gt;0)+(cr_in_rep="Quarterly")*(((DAY(cr_in_date)=DAY($B22))+(DAY($B22)=DAY(EOMONTH($B22,0)))*(DAY(cr_in_date)&gt;DAY($B22)))&gt;0)*(MOD((YEAR($B22)-YEAR(cr_in_date))*12+MONTH($B22)-MONTH(cr_in_date),3)=0)))</f>
        <v>0.0</v>
      </c>
      <c r="E22" s="43">
        <f>SUMPRODUCT(cr_out_amt*(cr_out_date&gt;0)*(cr_out_date&lt;=$B22)*(((cr_out_rep="Once")+(cr_out_rep=""))*(cr_out_date=$B22)+(cr_out_rep="Every day")+(cr_out_rep="Weekly")*(MOD($B22-cr_out_date,7)=0)+(cr_out_rep="Every 2 weeks")*(MOD($B22-cr_out_date,14)=0)+(cr_out_rep="Monthly")*(((DAY(cr_out_date)=DAY($B22))+(DAY($B22)=DAY(EOMONTH($B22,0)))*(DAY(cr_out_date)&gt;DAY($B22)))&gt;0)+(cr_out_rep="Quarterly")*(((DAY(cr_out_date)=DAY($B22))+(DAY($B22)=DAY(EOMONTH($B22,0)))*(DAY(cr_out_date)&gt;DAY($B22)))&gt;0)*(MOD((YEAR($B22)-YEAR(cr_out_date))*12+MONTH($B22)-MONTH(cr_out_date),3)=0)))</f>
        <v>0.0</v>
      </c>
      <c r="F22" s="44">
        <f>F21+D22-E22</f>
        <v>11160.0</v>
      </c>
      <c r="G22" s="45">
        <f>F22-cr_floor</f>
        <v>6160.0</v>
      </c>
      <c r="H22" s="46">
        <f>F22-cr_big_amt*($B22&gt;=cr_big_date)*($B22&lt;cr_big_date+cr_late)</f>
        <v>11160.0</v>
      </c>
    </row>
    <row r="23" spans="2:8" s="1" customFormat="1">
      <c r="B23" s="41">
        <f>B22+1</f>
        <v>46344.0</v>
      </c>
      <c r="C23" s="42" t="str">
        <f t="array" ref="C23">IFERROR(_xlfn.TEXTJOIN("  ·  ",TRUE,IF((cr_in_amt&gt;0)*((cr_in_date&gt;0)*(cr_in_date&lt;=$B23)*(((cr_in_rep="Once")+(cr_in_rep=""))*(cr_in_date=$B23)+(cr_in_rep="Every day")+(cr_in_rep="Weekly")*(MOD($B23-cr_in_date,7)=0)+(cr_in_rep="Every 2 weeks")*(MOD($B23-cr_in_date,14)=0)+(cr_in_rep="Monthly")*(((DAY(cr_in_date)=DAY($B23))+(DAY($B23)=DAY(EOMONTH($B23,0)))*(DAY(cr_in_date)&gt;DAY($B23)))&gt;0)+(cr_in_rep="Quarterly")*(((DAY(cr_in_date)=DAY($B23))+(DAY($B23)=DAY(EOMONTH($B23,0)))*(DAY(cr_in_date)&gt;DAY($B23)))&gt;0)*(MOD((YEAR($B23)-YEAR(cr_in_date))*12+MONTH($B23)-MONTH(cr_in_date),3)=0)))&gt;0,"+ "&amp;cr_in_name,""),IF((cr_out_amt&gt;0)*((cr_out_date&gt;0)*(cr_out_date&lt;=$B23)*(((cr_out_rep="Once")+(cr_out_rep=""))*(cr_out_date=$B23)+(cr_out_rep="Every day")+(cr_out_rep="Weekly")*(MOD($B23-cr_out_date,7)=0)+(cr_out_rep="Every 2 weeks")*(MOD($B23-cr_out_date,14)=0)+(cr_out_rep="Monthly")*(((DAY(cr_out_date)=DAY($B23))+(DAY($B23)=DAY(EOMONTH($B23,0)))*(DAY(cr_out_date)&gt;DAY($B23)))&gt;0)+(cr_out_rep="Quarterly")*(((DAY(cr_out_date)=DAY($B23))+(DAY($B23)=DAY(EOMONTH($B23,0)))*(DAY(cr_out_date)&gt;DAY($B23)))&gt;0)*(MOD((YEAR($B23)-YEAR(cr_out_date))*12+MONTH($B23)-MONTH(cr_out_date),3)=0)))&gt;0,cr_out_name,"")),"")</f>
        <v/>
      </c>
      <c r="D23" s="43">
        <f>SUMPRODUCT(cr_in_amt*(cr_in_date&gt;0)*(cr_in_date&lt;=$B23)*(((cr_in_rep="Once")+(cr_in_rep=""))*(cr_in_date=$B23)+(cr_in_rep="Every day")+(cr_in_rep="Weekly")*(MOD($B23-cr_in_date,7)=0)+(cr_in_rep="Every 2 weeks")*(MOD($B23-cr_in_date,14)=0)+(cr_in_rep="Monthly")*(((DAY(cr_in_date)=DAY($B23))+(DAY($B23)=DAY(EOMONTH($B23,0)))*(DAY(cr_in_date)&gt;DAY($B23)))&gt;0)+(cr_in_rep="Quarterly")*(((DAY(cr_in_date)=DAY($B23))+(DAY($B23)=DAY(EOMONTH($B23,0)))*(DAY(cr_in_date)&gt;DAY($B23)))&gt;0)*(MOD((YEAR($B23)-YEAR(cr_in_date))*12+MONTH($B23)-MONTH(cr_in_date),3)=0)))</f>
        <v>0.0</v>
      </c>
      <c r="E23" s="43">
        <f>SUMPRODUCT(cr_out_amt*(cr_out_date&gt;0)*(cr_out_date&lt;=$B23)*(((cr_out_rep="Once")+(cr_out_rep=""))*(cr_out_date=$B23)+(cr_out_rep="Every day")+(cr_out_rep="Weekly")*(MOD($B23-cr_out_date,7)=0)+(cr_out_rep="Every 2 weeks")*(MOD($B23-cr_out_date,14)=0)+(cr_out_rep="Monthly")*(((DAY(cr_out_date)=DAY($B23))+(DAY($B23)=DAY(EOMONTH($B23,0)))*(DAY(cr_out_date)&gt;DAY($B23)))&gt;0)+(cr_out_rep="Quarterly")*(((DAY(cr_out_date)=DAY($B23))+(DAY($B23)=DAY(EOMONTH($B23,0)))*(DAY(cr_out_date)&gt;DAY($B23)))&gt;0)*(MOD((YEAR($B23)-YEAR(cr_out_date))*12+MONTH($B23)-MONTH(cr_out_date),3)=0)))</f>
        <v>0.0</v>
      </c>
      <c r="F23" s="44">
        <f>F22+D23-E23</f>
        <v>11160.0</v>
      </c>
      <c r="G23" s="45">
        <f>F23-cr_floor</f>
        <v>6160.0</v>
      </c>
      <c r="H23" s="46">
        <f>F23-cr_big_amt*($B23&gt;=cr_big_date)*($B23&lt;cr_big_date+cr_late)</f>
        <v>11160.0</v>
      </c>
    </row>
    <row r="24" spans="2:8" s="1" customFormat="1">
      <c r="B24" s="41">
        <f>B23+1</f>
        <v>46345.0</v>
      </c>
      <c r="C24" s="42" t="str">
        <f t="array" ref="C24">IFERROR(_xlfn.TEXTJOIN("  ·  ",TRUE,IF((cr_in_amt&gt;0)*((cr_in_date&gt;0)*(cr_in_date&lt;=$B24)*(((cr_in_rep="Once")+(cr_in_rep=""))*(cr_in_date=$B24)+(cr_in_rep="Every day")+(cr_in_rep="Weekly")*(MOD($B24-cr_in_date,7)=0)+(cr_in_rep="Every 2 weeks")*(MOD($B24-cr_in_date,14)=0)+(cr_in_rep="Monthly")*(((DAY(cr_in_date)=DAY($B24))+(DAY($B24)=DAY(EOMONTH($B24,0)))*(DAY(cr_in_date)&gt;DAY($B24)))&gt;0)+(cr_in_rep="Quarterly")*(((DAY(cr_in_date)=DAY($B24))+(DAY($B24)=DAY(EOMONTH($B24,0)))*(DAY(cr_in_date)&gt;DAY($B24)))&gt;0)*(MOD((YEAR($B24)-YEAR(cr_in_date))*12+MONTH($B24)-MONTH(cr_in_date),3)=0)))&gt;0,"+ "&amp;cr_in_name,""),IF((cr_out_amt&gt;0)*((cr_out_date&gt;0)*(cr_out_date&lt;=$B24)*(((cr_out_rep="Once")+(cr_out_rep=""))*(cr_out_date=$B24)+(cr_out_rep="Every day")+(cr_out_rep="Weekly")*(MOD($B24-cr_out_date,7)=0)+(cr_out_rep="Every 2 weeks")*(MOD($B24-cr_out_date,14)=0)+(cr_out_rep="Monthly")*(((DAY(cr_out_date)=DAY($B24))+(DAY($B24)=DAY(EOMONTH($B24,0)))*(DAY(cr_out_date)&gt;DAY($B24)))&gt;0)+(cr_out_rep="Quarterly")*(((DAY(cr_out_date)=DAY($B24))+(DAY($B24)=DAY(EOMONTH($B24,0)))*(DAY(cr_out_date)&gt;DAY($B24)))&gt;0)*(MOD((YEAR($B24)-YEAR(cr_out_date))*12+MONTH($B24)-MONTH(cr_out_date),3)=0)))&gt;0,cr_out_name,"")),"")</f>
        <v/>
      </c>
      <c r="D24" s="43">
        <f>SUMPRODUCT(cr_in_amt*(cr_in_date&gt;0)*(cr_in_date&lt;=$B24)*(((cr_in_rep="Once")+(cr_in_rep=""))*(cr_in_date=$B24)+(cr_in_rep="Every day")+(cr_in_rep="Weekly")*(MOD($B24-cr_in_date,7)=0)+(cr_in_rep="Every 2 weeks")*(MOD($B24-cr_in_date,14)=0)+(cr_in_rep="Monthly")*(((DAY(cr_in_date)=DAY($B24))+(DAY($B24)=DAY(EOMONTH($B24,0)))*(DAY(cr_in_date)&gt;DAY($B24)))&gt;0)+(cr_in_rep="Quarterly")*(((DAY(cr_in_date)=DAY($B24))+(DAY($B24)=DAY(EOMONTH($B24,0)))*(DAY(cr_in_date)&gt;DAY($B24)))&gt;0)*(MOD((YEAR($B24)-YEAR(cr_in_date))*12+MONTH($B24)-MONTH(cr_in_date),3)=0)))</f>
        <v>0.0</v>
      </c>
      <c r="E24" s="43">
        <f>SUMPRODUCT(cr_out_amt*(cr_out_date&gt;0)*(cr_out_date&lt;=$B24)*(((cr_out_rep="Once")+(cr_out_rep=""))*(cr_out_date=$B24)+(cr_out_rep="Every day")+(cr_out_rep="Weekly")*(MOD($B24-cr_out_date,7)=0)+(cr_out_rep="Every 2 weeks")*(MOD($B24-cr_out_date,14)=0)+(cr_out_rep="Monthly")*(((DAY(cr_out_date)=DAY($B24))+(DAY($B24)=DAY(EOMONTH($B24,0)))*(DAY(cr_out_date)&gt;DAY($B24)))&gt;0)+(cr_out_rep="Quarterly")*(((DAY(cr_out_date)=DAY($B24))+(DAY($B24)=DAY(EOMONTH($B24,0)))*(DAY(cr_out_date)&gt;DAY($B24)))&gt;0)*(MOD((YEAR($B24)-YEAR(cr_out_date))*12+MONTH($B24)-MONTH(cr_out_date),3)=0)))</f>
        <v>0.0</v>
      </c>
      <c r="F24" s="44">
        <f>F23+D24-E24</f>
        <v>11160.0</v>
      </c>
      <c r="G24" s="45">
        <f>F24-cr_floor</f>
        <v>6160.0</v>
      </c>
      <c r="H24" s="46">
        <f>F24-cr_big_amt*($B24&gt;=cr_big_date)*($B24&lt;cr_big_date+cr_late)</f>
        <v>11160.0</v>
      </c>
    </row>
    <row r="25" spans="2:8" s="1" customFormat="1">
      <c r="B25" s="41">
        <f>B24+1</f>
        <v>46346.0</v>
      </c>
      <c r="C25" s="42" t="str">
        <f t="array" ref="C25">IFERROR(_xlfn.TEXTJOIN("  ·  ",TRUE,IF((cr_in_amt&gt;0)*((cr_in_date&gt;0)*(cr_in_date&lt;=$B25)*(((cr_in_rep="Once")+(cr_in_rep=""))*(cr_in_date=$B25)+(cr_in_rep="Every day")+(cr_in_rep="Weekly")*(MOD($B25-cr_in_date,7)=0)+(cr_in_rep="Every 2 weeks")*(MOD($B25-cr_in_date,14)=0)+(cr_in_rep="Monthly")*(((DAY(cr_in_date)=DAY($B25))+(DAY($B25)=DAY(EOMONTH($B25,0)))*(DAY(cr_in_date)&gt;DAY($B25)))&gt;0)+(cr_in_rep="Quarterly")*(((DAY(cr_in_date)=DAY($B25))+(DAY($B25)=DAY(EOMONTH($B25,0)))*(DAY(cr_in_date)&gt;DAY($B25)))&gt;0)*(MOD((YEAR($B25)-YEAR(cr_in_date))*12+MONTH($B25)-MONTH(cr_in_date),3)=0)))&gt;0,"+ "&amp;cr_in_name,""),IF((cr_out_amt&gt;0)*((cr_out_date&gt;0)*(cr_out_date&lt;=$B25)*(((cr_out_rep="Once")+(cr_out_rep=""))*(cr_out_date=$B25)+(cr_out_rep="Every day")+(cr_out_rep="Weekly")*(MOD($B25-cr_out_date,7)=0)+(cr_out_rep="Every 2 weeks")*(MOD($B25-cr_out_date,14)=0)+(cr_out_rep="Monthly")*(((DAY(cr_out_date)=DAY($B25))+(DAY($B25)=DAY(EOMONTH($B25,0)))*(DAY(cr_out_date)&gt;DAY($B25)))&gt;0)+(cr_out_rep="Quarterly")*(((DAY(cr_out_date)=DAY($B25))+(DAY($B25)=DAY(EOMONTH($B25,0)))*(DAY(cr_out_date)&gt;DAY($B25)))&gt;0)*(MOD((YEAR($B25)-YEAR(cr_out_date))*12+MONTH($B25)-MONTH(cr_out_date),3)=0)))&gt;0,cr_out_name,"")),"")</f>
        <v>+ Shop takings (typical week)  ·  + Tidewater Hotel invoice  ·  Wages</v>
      </c>
      <c r="D25" s="43">
        <f>SUMPRODUCT(cr_in_amt*(cr_in_date&gt;0)*(cr_in_date&lt;=$B25)*(((cr_in_rep="Once")+(cr_in_rep=""))*(cr_in_date=$B25)+(cr_in_rep="Every day")+(cr_in_rep="Weekly")*(MOD($B25-cr_in_date,7)=0)+(cr_in_rep="Every 2 weeks")*(MOD($B25-cr_in_date,14)=0)+(cr_in_rep="Monthly")*(((DAY(cr_in_date)=DAY($B25))+(DAY($B25)=DAY(EOMONTH($B25,0)))*(DAY(cr_in_date)&gt;DAY($B25)))&gt;0)+(cr_in_rep="Quarterly")*(((DAY(cr_in_date)=DAY($B25))+(DAY($B25)=DAY(EOMONTH($B25,0)))*(DAY(cr_in_date)&gt;DAY($B25)))&gt;0)*(MOD((YEAR($B25)-YEAR(cr_in_date))*12+MONTH($B25)-MONTH(cr_in_date),3)=0)))</f>
        <v>12400.0</v>
      </c>
      <c r="E25" s="43">
        <f>SUMPRODUCT(cr_out_amt*(cr_out_date&gt;0)*(cr_out_date&lt;=$B25)*(((cr_out_rep="Once")+(cr_out_rep=""))*(cr_out_date=$B25)+(cr_out_rep="Every day")+(cr_out_rep="Weekly")*(MOD($B25-cr_out_date,7)=0)+(cr_out_rep="Every 2 weeks")*(MOD($B25-cr_out_date,14)=0)+(cr_out_rep="Monthly")*(((DAY(cr_out_date)=DAY($B25))+(DAY($B25)=DAY(EOMONTH($B25,0)))*(DAY(cr_out_date)&gt;DAY($B25)))&gt;0)+(cr_out_rep="Quarterly")*(((DAY(cr_out_date)=DAY($B25))+(DAY($B25)=DAY(EOMONTH($B25,0)))*(DAY(cr_out_date)&gt;DAY($B25)))&gt;0)*(MOD((YEAR($B25)-YEAR(cr_out_date))*12+MONTH($B25)-MONTH(cr_out_date),3)=0)))</f>
        <v>3400.0</v>
      </c>
      <c r="F25" s="44">
        <f>F24+D25-E25</f>
        <v>20160.0</v>
      </c>
      <c r="G25" s="45">
        <f>F25-cr_floor</f>
        <v>15160.0</v>
      </c>
      <c r="H25" s="46">
        <f>F25-cr_big_amt*($B25&gt;=cr_big_date)*($B25&lt;cr_big_date+cr_late)</f>
        <v>10360.0</v>
      </c>
    </row>
    <row r="26" spans="2:8" s="1" customFormat="1">
      <c r="B26" s="41">
        <f>B25+1</f>
        <v>46347.0</v>
      </c>
      <c r="C26" s="42" t="str">
        <f t="array" ref="C26">IFERROR(_xlfn.TEXTJOIN("  ·  ",TRUE,IF((cr_in_amt&gt;0)*((cr_in_date&gt;0)*(cr_in_date&lt;=$B26)*(((cr_in_rep="Once")+(cr_in_rep=""))*(cr_in_date=$B26)+(cr_in_rep="Every day")+(cr_in_rep="Weekly")*(MOD($B26-cr_in_date,7)=0)+(cr_in_rep="Every 2 weeks")*(MOD($B26-cr_in_date,14)=0)+(cr_in_rep="Monthly")*(((DAY(cr_in_date)=DAY($B26))+(DAY($B26)=DAY(EOMONTH($B26,0)))*(DAY(cr_in_date)&gt;DAY($B26)))&gt;0)+(cr_in_rep="Quarterly")*(((DAY(cr_in_date)=DAY($B26))+(DAY($B26)=DAY(EOMONTH($B26,0)))*(DAY(cr_in_date)&gt;DAY($B26)))&gt;0)*(MOD((YEAR($B26)-YEAR(cr_in_date))*12+MONTH($B26)-MONTH(cr_in_date),3)=0)))&gt;0,"+ "&amp;cr_in_name,""),IF((cr_out_amt&gt;0)*((cr_out_date&gt;0)*(cr_out_date&lt;=$B26)*(((cr_out_rep="Once")+(cr_out_rep=""))*(cr_out_date=$B26)+(cr_out_rep="Every day")+(cr_out_rep="Weekly")*(MOD($B26-cr_out_date,7)=0)+(cr_out_rep="Every 2 weeks")*(MOD($B26-cr_out_date,14)=0)+(cr_out_rep="Monthly")*(((DAY(cr_out_date)=DAY($B26))+(DAY($B26)=DAY(EOMONTH($B26,0)))*(DAY(cr_out_date)&gt;DAY($B26)))&gt;0)+(cr_out_rep="Quarterly")*(((DAY(cr_out_date)=DAY($B26))+(DAY($B26)=DAY(EOMONTH($B26,0)))*(DAY(cr_out_date)&gt;DAY($B26)))&gt;0)*(MOD((YEAR($B26)-YEAR(cr_out_date))*12+MONTH($B26)-MONTH(cr_out_date),3)=0)))&gt;0,cr_out_name,"")),"")</f>
        <v/>
      </c>
      <c r="D26" s="43">
        <f>SUMPRODUCT(cr_in_amt*(cr_in_date&gt;0)*(cr_in_date&lt;=$B26)*(((cr_in_rep="Once")+(cr_in_rep=""))*(cr_in_date=$B26)+(cr_in_rep="Every day")+(cr_in_rep="Weekly")*(MOD($B26-cr_in_date,7)=0)+(cr_in_rep="Every 2 weeks")*(MOD($B26-cr_in_date,14)=0)+(cr_in_rep="Monthly")*(((DAY(cr_in_date)=DAY($B26))+(DAY($B26)=DAY(EOMONTH($B26,0)))*(DAY(cr_in_date)&gt;DAY($B26)))&gt;0)+(cr_in_rep="Quarterly")*(((DAY(cr_in_date)=DAY($B26))+(DAY($B26)=DAY(EOMONTH($B26,0)))*(DAY(cr_in_date)&gt;DAY($B26)))&gt;0)*(MOD((YEAR($B26)-YEAR(cr_in_date))*12+MONTH($B26)-MONTH(cr_in_date),3)=0)))</f>
        <v>0.0</v>
      </c>
      <c r="E26" s="43">
        <f>SUMPRODUCT(cr_out_amt*(cr_out_date&gt;0)*(cr_out_date&lt;=$B26)*(((cr_out_rep="Once")+(cr_out_rep=""))*(cr_out_date=$B26)+(cr_out_rep="Every day")+(cr_out_rep="Weekly")*(MOD($B26-cr_out_date,7)=0)+(cr_out_rep="Every 2 weeks")*(MOD($B26-cr_out_date,14)=0)+(cr_out_rep="Monthly")*(((DAY(cr_out_date)=DAY($B26))+(DAY($B26)=DAY(EOMONTH($B26,0)))*(DAY(cr_out_date)&gt;DAY($B26)))&gt;0)+(cr_out_rep="Quarterly")*(((DAY(cr_out_date)=DAY($B26))+(DAY($B26)=DAY(EOMONTH($B26,0)))*(DAY(cr_out_date)&gt;DAY($B26)))&gt;0)*(MOD((YEAR($B26)-YEAR(cr_out_date))*12+MONTH($B26)-MONTH(cr_out_date),3)=0)))</f>
        <v>0.0</v>
      </c>
      <c r="F26" s="44">
        <f>F25+D26-E26</f>
        <v>20160.0</v>
      </c>
      <c r="G26" s="45">
        <f>F26-cr_floor</f>
        <v>15160.0</v>
      </c>
      <c r="H26" s="46">
        <f>F26-cr_big_amt*($B26&gt;=cr_big_date)*($B26&lt;cr_big_date+cr_late)</f>
        <v>10360.0</v>
      </c>
    </row>
    <row r="27" spans="2:8" s="1" customFormat="1">
      <c r="B27" s="47">
        <f>B26+1</f>
        <v>46348.0</v>
      </c>
      <c r="C27" s="48" t="str">
        <f t="array" ref="C27">IFERROR(_xlfn.TEXTJOIN("  ·  ",TRUE,IF((cr_in_amt&gt;0)*((cr_in_date&gt;0)*(cr_in_date&lt;=$B27)*(((cr_in_rep="Once")+(cr_in_rep=""))*(cr_in_date=$B27)+(cr_in_rep="Every day")+(cr_in_rep="Weekly")*(MOD($B27-cr_in_date,7)=0)+(cr_in_rep="Every 2 weeks")*(MOD($B27-cr_in_date,14)=0)+(cr_in_rep="Monthly")*(((DAY(cr_in_date)=DAY($B27))+(DAY($B27)=DAY(EOMONTH($B27,0)))*(DAY(cr_in_date)&gt;DAY($B27)))&gt;0)+(cr_in_rep="Quarterly")*(((DAY(cr_in_date)=DAY($B27))+(DAY($B27)=DAY(EOMONTH($B27,0)))*(DAY(cr_in_date)&gt;DAY($B27)))&gt;0)*(MOD((YEAR($B27)-YEAR(cr_in_date))*12+MONTH($B27)-MONTH(cr_in_date),3)=0)))&gt;0,"+ "&amp;cr_in_name,""),IF((cr_out_amt&gt;0)*((cr_out_date&gt;0)*(cr_out_date&lt;=$B27)*(((cr_out_rep="Once")+(cr_out_rep=""))*(cr_out_date=$B27)+(cr_out_rep="Every day")+(cr_out_rep="Weekly")*(MOD($B27-cr_out_date,7)=0)+(cr_out_rep="Every 2 weeks")*(MOD($B27-cr_out_date,14)=0)+(cr_out_rep="Monthly")*(((DAY(cr_out_date)=DAY($B27))+(DAY($B27)=DAY(EOMONTH($B27,0)))*(DAY(cr_out_date)&gt;DAY($B27)))&gt;0)+(cr_out_rep="Quarterly")*(((DAY(cr_out_date)=DAY($B27))+(DAY($B27)=DAY(EOMONTH($B27,0)))*(DAY(cr_out_date)&gt;DAY($B27)))&gt;0)*(MOD((YEAR($B27)-YEAR(cr_out_date))*12+MONTH($B27)-MONTH(cr_out_date),3)=0)))&gt;0,cr_out_name,"")),"")</f>
        <v/>
      </c>
      <c r="D27" s="49">
        <f>SUMPRODUCT(cr_in_amt*(cr_in_date&gt;0)*(cr_in_date&lt;=$B27)*(((cr_in_rep="Once")+(cr_in_rep=""))*(cr_in_date=$B27)+(cr_in_rep="Every day")+(cr_in_rep="Weekly")*(MOD($B27-cr_in_date,7)=0)+(cr_in_rep="Every 2 weeks")*(MOD($B27-cr_in_date,14)=0)+(cr_in_rep="Monthly")*(((DAY(cr_in_date)=DAY($B27))+(DAY($B27)=DAY(EOMONTH($B27,0)))*(DAY(cr_in_date)&gt;DAY($B27)))&gt;0)+(cr_in_rep="Quarterly")*(((DAY(cr_in_date)=DAY($B27))+(DAY($B27)=DAY(EOMONTH($B27,0)))*(DAY(cr_in_date)&gt;DAY($B27)))&gt;0)*(MOD((YEAR($B27)-YEAR(cr_in_date))*12+MONTH($B27)-MONTH(cr_in_date),3)=0)))</f>
        <v>0.0</v>
      </c>
      <c r="E27" s="49">
        <f>SUMPRODUCT(cr_out_amt*(cr_out_date&gt;0)*(cr_out_date&lt;=$B27)*(((cr_out_rep="Once")+(cr_out_rep=""))*(cr_out_date=$B27)+(cr_out_rep="Every day")+(cr_out_rep="Weekly")*(MOD($B27-cr_out_date,7)=0)+(cr_out_rep="Every 2 weeks")*(MOD($B27-cr_out_date,14)=0)+(cr_out_rep="Monthly")*(((DAY(cr_out_date)=DAY($B27))+(DAY($B27)=DAY(EOMONTH($B27,0)))*(DAY(cr_out_date)&gt;DAY($B27)))&gt;0)+(cr_out_rep="Quarterly")*(((DAY(cr_out_date)=DAY($B27))+(DAY($B27)=DAY(EOMONTH($B27,0)))*(DAY(cr_out_date)&gt;DAY($B27)))&gt;0)*(MOD((YEAR($B27)-YEAR(cr_out_date))*12+MONTH($B27)-MONTH(cr_out_date),3)=0)))</f>
        <v>0.0</v>
      </c>
      <c r="F27" s="38">
        <f>F26+D27-E27</f>
        <v>20160.0</v>
      </c>
      <c r="G27" s="39">
        <f>F27-cr_floor</f>
        <v>15160.0</v>
      </c>
      <c r="H27" s="40">
        <f>F27-cr_big_amt*($B27&gt;=cr_big_date)*($B27&lt;cr_big_date+cr_late)</f>
        <v>10360.0</v>
      </c>
    </row>
    <row r="28" spans="2:8" s="1" customFormat="1">
      <c r="B28" s="41">
        <f>B27+1</f>
        <v>46349.0</v>
      </c>
      <c r="C28" s="42" t="str">
        <f t="array" ref="C28">IFERROR(_xlfn.TEXTJOIN("  ·  ",TRUE,IF((cr_in_amt&gt;0)*((cr_in_date&gt;0)*(cr_in_date&lt;=$B28)*(((cr_in_rep="Once")+(cr_in_rep=""))*(cr_in_date=$B28)+(cr_in_rep="Every day")+(cr_in_rep="Weekly")*(MOD($B28-cr_in_date,7)=0)+(cr_in_rep="Every 2 weeks")*(MOD($B28-cr_in_date,14)=0)+(cr_in_rep="Monthly")*(((DAY(cr_in_date)=DAY($B28))+(DAY($B28)=DAY(EOMONTH($B28,0)))*(DAY(cr_in_date)&gt;DAY($B28)))&gt;0)+(cr_in_rep="Quarterly")*(((DAY(cr_in_date)=DAY($B28))+(DAY($B28)=DAY(EOMONTH($B28,0)))*(DAY(cr_in_date)&gt;DAY($B28)))&gt;0)*(MOD((YEAR($B28)-YEAR(cr_in_date))*12+MONTH($B28)-MONTH(cr_in_date),3)=0)))&gt;0,"+ "&amp;cr_in_name,""),IF((cr_out_amt&gt;0)*((cr_out_date&gt;0)*(cr_out_date&lt;=$B28)*(((cr_out_rep="Once")+(cr_out_rep=""))*(cr_out_date=$B28)+(cr_out_rep="Every day")+(cr_out_rep="Weekly")*(MOD($B28-cr_out_date,7)=0)+(cr_out_rep="Every 2 weeks")*(MOD($B28-cr_out_date,14)=0)+(cr_out_rep="Monthly")*(((DAY(cr_out_date)=DAY($B28))+(DAY($B28)=DAY(EOMONTH($B28,0)))*(DAY(cr_out_date)&gt;DAY($B28)))&gt;0)+(cr_out_rep="Quarterly")*(((DAY(cr_out_date)=DAY($B28))+(DAY($B28)=DAY(EOMONTH($B28,0)))*(DAY(cr_out_date)&gt;DAY($B28)))&gt;0)*(MOD((YEAR($B28)-YEAR(cr_out_date))*12+MONTH($B28)-MONTH(cr_out_date),3)=0)))&gt;0,cr_out_name,"")),"")</f>
        <v/>
      </c>
      <c r="D28" s="43">
        <f>SUMPRODUCT(cr_in_amt*(cr_in_date&gt;0)*(cr_in_date&lt;=$B28)*(((cr_in_rep="Once")+(cr_in_rep=""))*(cr_in_date=$B28)+(cr_in_rep="Every day")+(cr_in_rep="Weekly")*(MOD($B28-cr_in_date,7)=0)+(cr_in_rep="Every 2 weeks")*(MOD($B28-cr_in_date,14)=0)+(cr_in_rep="Monthly")*(((DAY(cr_in_date)=DAY($B28))+(DAY($B28)=DAY(EOMONTH($B28,0)))*(DAY(cr_in_date)&gt;DAY($B28)))&gt;0)+(cr_in_rep="Quarterly")*(((DAY(cr_in_date)=DAY($B28))+(DAY($B28)=DAY(EOMONTH($B28,0)))*(DAY(cr_in_date)&gt;DAY($B28)))&gt;0)*(MOD((YEAR($B28)-YEAR(cr_in_date))*12+MONTH($B28)-MONTH(cr_in_date),3)=0)))</f>
        <v>0.0</v>
      </c>
      <c r="E28" s="43">
        <f>SUMPRODUCT(cr_out_amt*(cr_out_date&gt;0)*(cr_out_date&lt;=$B28)*(((cr_out_rep="Once")+(cr_out_rep=""))*(cr_out_date=$B28)+(cr_out_rep="Every day")+(cr_out_rep="Weekly")*(MOD($B28-cr_out_date,7)=0)+(cr_out_rep="Every 2 weeks")*(MOD($B28-cr_out_date,14)=0)+(cr_out_rep="Monthly")*(((DAY(cr_out_date)=DAY($B28))+(DAY($B28)=DAY(EOMONTH($B28,0)))*(DAY(cr_out_date)&gt;DAY($B28)))&gt;0)+(cr_out_rep="Quarterly")*(((DAY(cr_out_date)=DAY($B28))+(DAY($B28)=DAY(EOMONTH($B28,0)))*(DAY(cr_out_date)&gt;DAY($B28)))&gt;0)*(MOD((YEAR($B28)-YEAR(cr_out_date))*12+MONTH($B28)-MONTH(cr_out_date),3)=0)))</f>
        <v>0.0</v>
      </c>
      <c r="F28" s="44">
        <f>F27+D28-E28</f>
        <v>20160.0</v>
      </c>
      <c r="G28" s="45">
        <f>F28-cr_floor</f>
        <v>15160.0</v>
      </c>
      <c r="H28" s="46">
        <f>F28-cr_big_amt*($B28&gt;=cr_big_date)*($B28&lt;cr_big_date+cr_late)</f>
        <v>10360.0</v>
      </c>
    </row>
    <row r="29" spans="2:8" s="1" customFormat="1">
      <c r="B29" s="41">
        <f>B28+1</f>
        <v>46350.0</v>
      </c>
      <c r="C29" s="42" t="str">
        <f t="array" ref="C29">IFERROR(_xlfn.TEXTJOIN("  ·  ",TRUE,IF((cr_in_amt&gt;0)*((cr_in_date&gt;0)*(cr_in_date&lt;=$B29)*(((cr_in_rep="Once")+(cr_in_rep=""))*(cr_in_date=$B29)+(cr_in_rep="Every day")+(cr_in_rep="Weekly")*(MOD($B29-cr_in_date,7)=0)+(cr_in_rep="Every 2 weeks")*(MOD($B29-cr_in_date,14)=0)+(cr_in_rep="Monthly")*(((DAY(cr_in_date)=DAY($B29))+(DAY($B29)=DAY(EOMONTH($B29,0)))*(DAY(cr_in_date)&gt;DAY($B29)))&gt;0)+(cr_in_rep="Quarterly")*(((DAY(cr_in_date)=DAY($B29))+(DAY($B29)=DAY(EOMONTH($B29,0)))*(DAY(cr_in_date)&gt;DAY($B29)))&gt;0)*(MOD((YEAR($B29)-YEAR(cr_in_date))*12+MONTH($B29)-MONTH(cr_in_date),3)=0)))&gt;0,"+ "&amp;cr_in_name,""),IF((cr_out_amt&gt;0)*((cr_out_date&gt;0)*(cr_out_date&lt;=$B29)*(((cr_out_rep="Once")+(cr_out_rep=""))*(cr_out_date=$B29)+(cr_out_rep="Every day")+(cr_out_rep="Weekly")*(MOD($B29-cr_out_date,7)=0)+(cr_out_rep="Every 2 weeks")*(MOD($B29-cr_out_date,14)=0)+(cr_out_rep="Monthly")*(((DAY(cr_out_date)=DAY($B29))+(DAY($B29)=DAY(EOMONTH($B29,0)))*(DAY(cr_out_date)&gt;DAY($B29)))&gt;0)+(cr_out_rep="Quarterly")*(((DAY(cr_out_date)=DAY($B29))+(DAY($B29)=DAY(EOMONTH($B29,0)))*(DAY(cr_out_date)&gt;DAY($B29)))&gt;0)*(MOD((YEAR($B29)-YEAR(cr_out_date))*12+MONTH($B29)-MONTH(cr_out_date),3)=0)))&gt;0,cr_out_name,"")),"")</f>
        <v/>
      </c>
      <c r="D29" s="43">
        <f>SUMPRODUCT(cr_in_amt*(cr_in_date&gt;0)*(cr_in_date&lt;=$B29)*(((cr_in_rep="Once")+(cr_in_rep=""))*(cr_in_date=$B29)+(cr_in_rep="Every day")+(cr_in_rep="Weekly")*(MOD($B29-cr_in_date,7)=0)+(cr_in_rep="Every 2 weeks")*(MOD($B29-cr_in_date,14)=0)+(cr_in_rep="Monthly")*(((DAY(cr_in_date)=DAY($B29))+(DAY($B29)=DAY(EOMONTH($B29,0)))*(DAY(cr_in_date)&gt;DAY($B29)))&gt;0)+(cr_in_rep="Quarterly")*(((DAY(cr_in_date)=DAY($B29))+(DAY($B29)=DAY(EOMONTH($B29,0)))*(DAY(cr_in_date)&gt;DAY($B29)))&gt;0)*(MOD((YEAR($B29)-YEAR(cr_in_date))*12+MONTH($B29)-MONTH(cr_in_date),3)=0)))</f>
        <v>0.0</v>
      </c>
      <c r="E29" s="43">
        <f>SUMPRODUCT(cr_out_amt*(cr_out_date&gt;0)*(cr_out_date&lt;=$B29)*(((cr_out_rep="Once")+(cr_out_rep=""))*(cr_out_date=$B29)+(cr_out_rep="Every day")+(cr_out_rep="Weekly")*(MOD($B29-cr_out_date,7)=0)+(cr_out_rep="Every 2 weeks")*(MOD($B29-cr_out_date,14)=0)+(cr_out_rep="Monthly")*(((DAY(cr_out_date)=DAY($B29))+(DAY($B29)=DAY(EOMONTH($B29,0)))*(DAY(cr_out_date)&gt;DAY($B29)))&gt;0)+(cr_out_rep="Quarterly")*(((DAY(cr_out_date)=DAY($B29))+(DAY($B29)=DAY(EOMONTH($B29,0)))*(DAY(cr_out_date)&gt;DAY($B29)))&gt;0)*(MOD((YEAR($B29)-YEAR(cr_out_date))*12+MONTH($B29)-MONTH(cr_out_date),3)=0)))</f>
        <v>0.0</v>
      </c>
      <c r="F29" s="44">
        <f>F28+D29-E29</f>
        <v>20160.0</v>
      </c>
      <c r="G29" s="45">
        <f>F29-cr_floor</f>
        <v>15160.0</v>
      </c>
      <c r="H29" s="46">
        <f>F29-cr_big_amt*($B29&gt;=cr_big_date)*($B29&lt;cr_big_date+cr_late)</f>
        <v>10360.0</v>
      </c>
    </row>
    <row r="30" spans="2:8" s="1" customFormat="1">
      <c r="B30" s="41">
        <f>B29+1</f>
        <v>46351.0</v>
      </c>
      <c r="C30" s="42" t="str">
        <f t="array" ref="C30">IFERROR(_xlfn.TEXTJOIN("  ·  ",TRUE,IF((cr_in_amt&gt;0)*((cr_in_date&gt;0)*(cr_in_date&lt;=$B30)*(((cr_in_rep="Once")+(cr_in_rep=""))*(cr_in_date=$B30)+(cr_in_rep="Every day")+(cr_in_rep="Weekly")*(MOD($B30-cr_in_date,7)=0)+(cr_in_rep="Every 2 weeks")*(MOD($B30-cr_in_date,14)=0)+(cr_in_rep="Monthly")*(((DAY(cr_in_date)=DAY($B30))+(DAY($B30)=DAY(EOMONTH($B30,0)))*(DAY(cr_in_date)&gt;DAY($B30)))&gt;0)+(cr_in_rep="Quarterly")*(((DAY(cr_in_date)=DAY($B30))+(DAY($B30)=DAY(EOMONTH($B30,0)))*(DAY(cr_in_date)&gt;DAY($B30)))&gt;0)*(MOD((YEAR($B30)-YEAR(cr_in_date))*12+MONTH($B30)-MONTH(cr_in_date),3)=0)))&gt;0,"+ "&amp;cr_in_name,""),IF((cr_out_amt&gt;0)*((cr_out_date&gt;0)*(cr_out_date&lt;=$B30)*(((cr_out_rep="Once")+(cr_out_rep=""))*(cr_out_date=$B30)+(cr_out_rep="Every day")+(cr_out_rep="Weekly")*(MOD($B30-cr_out_date,7)=0)+(cr_out_rep="Every 2 weeks")*(MOD($B30-cr_out_date,14)=0)+(cr_out_rep="Monthly")*(((DAY(cr_out_date)=DAY($B30))+(DAY($B30)=DAY(EOMONTH($B30,0)))*(DAY(cr_out_date)&gt;DAY($B30)))&gt;0)+(cr_out_rep="Quarterly")*(((DAY(cr_out_date)=DAY($B30))+(DAY($B30)=DAY(EOMONTH($B30,0)))*(DAY(cr_out_date)&gt;DAY($B30)))&gt;0)*(MOD((YEAR($B30)-YEAR(cr_out_date))*12+MONTH($B30)-MONTH(cr_out_date),3)=0)))&gt;0,cr_out_name,"")),"")</f>
        <v/>
      </c>
      <c r="D30" s="43">
        <f>SUMPRODUCT(cr_in_amt*(cr_in_date&gt;0)*(cr_in_date&lt;=$B30)*(((cr_in_rep="Once")+(cr_in_rep=""))*(cr_in_date=$B30)+(cr_in_rep="Every day")+(cr_in_rep="Weekly")*(MOD($B30-cr_in_date,7)=0)+(cr_in_rep="Every 2 weeks")*(MOD($B30-cr_in_date,14)=0)+(cr_in_rep="Monthly")*(((DAY(cr_in_date)=DAY($B30))+(DAY($B30)=DAY(EOMONTH($B30,0)))*(DAY(cr_in_date)&gt;DAY($B30)))&gt;0)+(cr_in_rep="Quarterly")*(((DAY(cr_in_date)=DAY($B30))+(DAY($B30)=DAY(EOMONTH($B30,0)))*(DAY(cr_in_date)&gt;DAY($B30)))&gt;0)*(MOD((YEAR($B30)-YEAR(cr_in_date))*12+MONTH($B30)-MONTH(cr_in_date),3)=0)))</f>
        <v>0.0</v>
      </c>
      <c r="E30" s="43">
        <f>SUMPRODUCT(cr_out_amt*(cr_out_date&gt;0)*(cr_out_date&lt;=$B30)*(((cr_out_rep="Once")+(cr_out_rep=""))*(cr_out_date=$B30)+(cr_out_rep="Every day")+(cr_out_rep="Weekly")*(MOD($B30-cr_out_date,7)=0)+(cr_out_rep="Every 2 weeks")*(MOD($B30-cr_out_date,14)=0)+(cr_out_rep="Monthly")*(((DAY(cr_out_date)=DAY($B30))+(DAY($B30)=DAY(EOMONTH($B30,0)))*(DAY(cr_out_date)&gt;DAY($B30)))&gt;0)+(cr_out_rep="Quarterly")*(((DAY(cr_out_date)=DAY($B30))+(DAY($B30)=DAY(EOMONTH($B30,0)))*(DAY(cr_out_date)&gt;DAY($B30)))&gt;0)*(MOD((YEAR($B30)-YEAR(cr_out_date))*12+MONTH($B30)-MONTH(cr_out_date),3)=0)))</f>
        <v>0.0</v>
      </c>
      <c r="F30" s="44">
        <f>F29+D30-E30</f>
        <v>20160.0</v>
      </c>
      <c r="G30" s="45">
        <f>F30-cr_floor</f>
        <v>15160.0</v>
      </c>
      <c r="H30" s="46">
        <f>F30-cr_big_amt*($B30&gt;=cr_big_date)*($B30&lt;cr_big_date+cr_late)</f>
        <v>10360.0</v>
      </c>
    </row>
    <row r="31" spans="2:8" s="1" customFormat="1">
      <c r="B31" s="41">
        <f>B30+1</f>
        <v>46352.0</v>
      </c>
      <c r="C31" s="42" t="str">
        <f t="array" ref="C31">IFERROR(_xlfn.TEXTJOIN("  ·  ",TRUE,IF((cr_in_amt&gt;0)*((cr_in_date&gt;0)*(cr_in_date&lt;=$B31)*(((cr_in_rep="Once")+(cr_in_rep=""))*(cr_in_date=$B31)+(cr_in_rep="Every day")+(cr_in_rep="Weekly")*(MOD($B31-cr_in_date,7)=0)+(cr_in_rep="Every 2 weeks")*(MOD($B31-cr_in_date,14)=0)+(cr_in_rep="Monthly")*(((DAY(cr_in_date)=DAY($B31))+(DAY($B31)=DAY(EOMONTH($B31,0)))*(DAY(cr_in_date)&gt;DAY($B31)))&gt;0)+(cr_in_rep="Quarterly")*(((DAY(cr_in_date)=DAY($B31))+(DAY($B31)=DAY(EOMONTH($B31,0)))*(DAY(cr_in_date)&gt;DAY($B31)))&gt;0)*(MOD((YEAR($B31)-YEAR(cr_in_date))*12+MONTH($B31)-MONTH(cr_in_date),3)=0)))&gt;0,"+ "&amp;cr_in_name,""),IF((cr_out_amt&gt;0)*((cr_out_date&gt;0)*(cr_out_date&lt;=$B31)*(((cr_out_rep="Once")+(cr_out_rep=""))*(cr_out_date=$B31)+(cr_out_rep="Every day")+(cr_out_rep="Weekly")*(MOD($B31-cr_out_date,7)=0)+(cr_out_rep="Every 2 weeks")*(MOD($B31-cr_out_date,14)=0)+(cr_out_rep="Monthly")*(((DAY(cr_out_date)=DAY($B31))+(DAY($B31)=DAY(EOMONTH($B31,0)))*(DAY(cr_out_date)&gt;DAY($B31)))&gt;0)+(cr_out_rep="Quarterly")*(((DAY(cr_out_date)=DAY($B31))+(DAY($B31)=DAY(EOMONTH($B31,0)))*(DAY(cr_out_date)&gt;DAY($B31)))&gt;0)*(MOD((YEAR($B31)-YEAR(cr_out_date))*12+MONTH($B31)-MONTH(cr_out_date),3)=0)))&gt;0,cr_out_name,"")),"")</f>
        <v/>
      </c>
      <c r="D31" s="43">
        <f>SUMPRODUCT(cr_in_amt*(cr_in_date&gt;0)*(cr_in_date&lt;=$B31)*(((cr_in_rep="Once")+(cr_in_rep=""))*(cr_in_date=$B31)+(cr_in_rep="Every day")+(cr_in_rep="Weekly")*(MOD($B31-cr_in_date,7)=0)+(cr_in_rep="Every 2 weeks")*(MOD($B31-cr_in_date,14)=0)+(cr_in_rep="Monthly")*(((DAY(cr_in_date)=DAY($B31))+(DAY($B31)=DAY(EOMONTH($B31,0)))*(DAY(cr_in_date)&gt;DAY($B31)))&gt;0)+(cr_in_rep="Quarterly")*(((DAY(cr_in_date)=DAY($B31))+(DAY($B31)=DAY(EOMONTH($B31,0)))*(DAY(cr_in_date)&gt;DAY($B31)))&gt;0)*(MOD((YEAR($B31)-YEAR(cr_in_date))*12+MONTH($B31)-MONTH(cr_in_date),3)=0)))</f>
        <v>0.0</v>
      </c>
      <c r="E31" s="43">
        <f>SUMPRODUCT(cr_out_amt*(cr_out_date&gt;0)*(cr_out_date&lt;=$B31)*(((cr_out_rep="Once")+(cr_out_rep=""))*(cr_out_date=$B31)+(cr_out_rep="Every day")+(cr_out_rep="Weekly")*(MOD($B31-cr_out_date,7)=0)+(cr_out_rep="Every 2 weeks")*(MOD($B31-cr_out_date,14)=0)+(cr_out_rep="Monthly")*(((DAY(cr_out_date)=DAY($B31))+(DAY($B31)=DAY(EOMONTH($B31,0)))*(DAY(cr_out_date)&gt;DAY($B31)))&gt;0)+(cr_out_rep="Quarterly")*(((DAY(cr_out_date)=DAY($B31))+(DAY($B31)=DAY(EOMONTH($B31,0)))*(DAY(cr_out_date)&gt;DAY($B31)))&gt;0)*(MOD((YEAR($B31)-YEAR(cr_out_date))*12+MONTH($B31)-MONTH(cr_out_date),3)=0)))</f>
        <v>0.0</v>
      </c>
      <c r="F31" s="44">
        <f>F30+D31-E31</f>
        <v>20160.0</v>
      </c>
      <c r="G31" s="45">
        <f>F31-cr_floor</f>
        <v>15160.0</v>
      </c>
      <c r="H31" s="46">
        <f>F31-cr_big_amt*($B31&gt;=cr_big_date)*($B31&lt;cr_big_date+cr_late)</f>
        <v>10360.0</v>
      </c>
    </row>
    <row r="32" spans="2:8" s="1" customFormat="1">
      <c r="B32" s="41">
        <f>B31+1</f>
        <v>46353.0</v>
      </c>
      <c r="C32" s="42" t="str">
        <f t="array" ref="C32">IFERROR(_xlfn.TEXTJOIN("  ·  ",TRUE,IF((cr_in_amt&gt;0)*((cr_in_date&gt;0)*(cr_in_date&lt;=$B32)*(((cr_in_rep="Once")+(cr_in_rep=""))*(cr_in_date=$B32)+(cr_in_rep="Every day")+(cr_in_rep="Weekly")*(MOD($B32-cr_in_date,7)=0)+(cr_in_rep="Every 2 weeks")*(MOD($B32-cr_in_date,14)=0)+(cr_in_rep="Monthly")*(((DAY(cr_in_date)=DAY($B32))+(DAY($B32)=DAY(EOMONTH($B32,0)))*(DAY(cr_in_date)&gt;DAY($B32)))&gt;0)+(cr_in_rep="Quarterly")*(((DAY(cr_in_date)=DAY($B32))+(DAY($B32)=DAY(EOMONTH($B32,0)))*(DAY(cr_in_date)&gt;DAY($B32)))&gt;0)*(MOD((YEAR($B32)-YEAR(cr_in_date))*12+MONTH($B32)-MONTH(cr_in_date),3)=0)))&gt;0,"+ "&amp;cr_in_name,""),IF((cr_out_amt&gt;0)*((cr_out_date&gt;0)*(cr_out_date&lt;=$B32)*(((cr_out_rep="Once")+(cr_out_rep=""))*(cr_out_date=$B32)+(cr_out_rep="Every day")+(cr_out_rep="Weekly")*(MOD($B32-cr_out_date,7)=0)+(cr_out_rep="Every 2 weeks")*(MOD($B32-cr_out_date,14)=0)+(cr_out_rep="Monthly")*(((DAY(cr_out_date)=DAY($B32))+(DAY($B32)=DAY(EOMONTH($B32,0)))*(DAY(cr_out_date)&gt;DAY($B32)))&gt;0)+(cr_out_rep="Quarterly")*(((DAY(cr_out_date)=DAY($B32))+(DAY($B32)=DAY(EOMONTH($B32,0)))*(DAY(cr_out_date)&gt;DAY($B32)))&gt;0)*(MOD((YEAR($B32)-YEAR(cr_out_date))*12+MONTH($B32)-MONTH(cr_out_date),3)=0)))&gt;0,cr_out_name,"")),"")</f>
        <v>+ Shop takings (typical week)  ·  Moulding supplier</v>
      </c>
      <c r="D32" s="43">
        <f>SUMPRODUCT(cr_in_amt*(cr_in_date&gt;0)*(cr_in_date&lt;=$B32)*(((cr_in_rep="Once")+(cr_in_rep=""))*(cr_in_date=$B32)+(cr_in_rep="Every day")+(cr_in_rep="Weekly")*(MOD($B32-cr_in_date,7)=0)+(cr_in_rep="Every 2 weeks")*(MOD($B32-cr_in_date,14)=0)+(cr_in_rep="Monthly")*(((DAY(cr_in_date)=DAY($B32))+(DAY($B32)=DAY(EOMONTH($B32,0)))*(DAY(cr_in_date)&gt;DAY($B32)))&gt;0)+(cr_in_rep="Quarterly")*(((DAY(cr_in_date)=DAY($B32))+(DAY($B32)=DAY(EOMONTH($B32,0)))*(DAY(cr_in_date)&gt;DAY($B32)))&gt;0)*(MOD((YEAR($B32)-YEAR(cr_in_date))*12+MONTH($B32)-MONTH(cr_in_date),3)=0)))</f>
        <v>2600.0</v>
      </c>
      <c r="E32" s="43">
        <f>SUMPRODUCT(cr_out_amt*(cr_out_date&gt;0)*(cr_out_date&lt;=$B32)*(((cr_out_rep="Once")+(cr_out_rep=""))*(cr_out_date=$B32)+(cr_out_rep="Every day")+(cr_out_rep="Weekly")*(MOD($B32-cr_out_date,7)=0)+(cr_out_rep="Every 2 weeks")*(MOD($B32-cr_out_date,14)=0)+(cr_out_rep="Monthly")*(((DAY(cr_out_date)=DAY($B32))+(DAY($B32)=DAY(EOMONTH($B32,0)))*(DAY(cr_out_date)&gt;DAY($B32)))&gt;0)+(cr_out_rep="Quarterly")*(((DAY(cr_out_date)=DAY($B32))+(DAY($B32)=DAY(EOMONTH($B32,0)))*(DAY(cr_out_date)&gt;DAY($B32)))&gt;0)*(MOD((YEAR($B32)-YEAR(cr_out_date))*12+MONTH($B32)-MONTH(cr_out_date),3)=0)))</f>
        <v>4400.0</v>
      </c>
      <c r="F32" s="44">
        <f>F31+D32-E32</f>
        <v>18360.0</v>
      </c>
      <c r="G32" s="45">
        <f>F32-cr_floor</f>
        <v>13360.0</v>
      </c>
      <c r="H32" s="46">
        <f>F32-cr_big_amt*($B32&gt;=cr_big_date)*($B32&lt;cr_big_date+cr_late)</f>
        <v>8560.0</v>
      </c>
    </row>
    <row r="33" spans="2:8" s="1" customFormat="1">
      <c r="B33" s="41">
        <f>B32+1</f>
        <v>46354.0</v>
      </c>
      <c r="C33" s="42" t="str">
        <f t="array" ref="C33">IFERROR(_xlfn.TEXTJOIN("  ·  ",TRUE,IF((cr_in_amt&gt;0)*((cr_in_date&gt;0)*(cr_in_date&lt;=$B33)*(((cr_in_rep="Once")+(cr_in_rep=""))*(cr_in_date=$B33)+(cr_in_rep="Every day")+(cr_in_rep="Weekly")*(MOD($B33-cr_in_date,7)=0)+(cr_in_rep="Every 2 weeks")*(MOD($B33-cr_in_date,14)=0)+(cr_in_rep="Monthly")*(((DAY(cr_in_date)=DAY($B33))+(DAY($B33)=DAY(EOMONTH($B33,0)))*(DAY(cr_in_date)&gt;DAY($B33)))&gt;0)+(cr_in_rep="Quarterly")*(((DAY(cr_in_date)=DAY($B33))+(DAY($B33)=DAY(EOMONTH($B33,0)))*(DAY(cr_in_date)&gt;DAY($B33)))&gt;0)*(MOD((YEAR($B33)-YEAR(cr_in_date))*12+MONTH($B33)-MONTH(cr_in_date),3)=0)))&gt;0,"+ "&amp;cr_in_name,""),IF((cr_out_amt&gt;0)*((cr_out_date&gt;0)*(cr_out_date&lt;=$B33)*(((cr_out_rep="Once")+(cr_out_rep=""))*(cr_out_date=$B33)+(cr_out_rep="Every day")+(cr_out_rep="Weekly")*(MOD($B33-cr_out_date,7)=0)+(cr_out_rep="Every 2 weeks")*(MOD($B33-cr_out_date,14)=0)+(cr_out_rep="Monthly")*(((DAY(cr_out_date)=DAY($B33))+(DAY($B33)=DAY(EOMONTH($B33,0)))*(DAY(cr_out_date)&gt;DAY($B33)))&gt;0)+(cr_out_rep="Quarterly")*(((DAY(cr_out_date)=DAY($B33))+(DAY($B33)=DAY(EOMONTH($B33,0)))*(DAY(cr_out_date)&gt;DAY($B33)))&gt;0)*(MOD((YEAR($B33)-YEAR(cr_out_date))*12+MONTH($B33)-MONTH(cr_out_date),3)=0)))&gt;0,cr_out_name,"")),"")</f>
        <v/>
      </c>
      <c r="D33" s="43">
        <f>SUMPRODUCT(cr_in_amt*(cr_in_date&gt;0)*(cr_in_date&lt;=$B33)*(((cr_in_rep="Once")+(cr_in_rep=""))*(cr_in_date=$B33)+(cr_in_rep="Every day")+(cr_in_rep="Weekly")*(MOD($B33-cr_in_date,7)=0)+(cr_in_rep="Every 2 weeks")*(MOD($B33-cr_in_date,14)=0)+(cr_in_rep="Monthly")*(((DAY(cr_in_date)=DAY($B33))+(DAY($B33)=DAY(EOMONTH($B33,0)))*(DAY(cr_in_date)&gt;DAY($B33)))&gt;0)+(cr_in_rep="Quarterly")*(((DAY(cr_in_date)=DAY($B33))+(DAY($B33)=DAY(EOMONTH($B33,0)))*(DAY(cr_in_date)&gt;DAY($B33)))&gt;0)*(MOD((YEAR($B33)-YEAR(cr_in_date))*12+MONTH($B33)-MONTH(cr_in_date),3)=0)))</f>
        <v>0.0</v>
      </c>
      <c r="E33" s="43">
        <f>SUMPRODUCT(cr_out_amt*(cr_out_date&gt;0)*(cr_out_date&lt;=$B33)*(((cr_out_rep="Once")+(cr_out_rep=""))*(cr_out_date=$B33)+(cr_out_rep="Every day")+(cr_out_rep="Weekly")*(MOD($B33-cr_out_date,7)=0)+(cr_out_rep="Every 2 weeks")*(MOD($B33-cr_out_date,14)=0)+(cr_out_rep="Monthly")*(((DAY(cr_out_date)=DAY($B33))+(DAY($B33)=DAY(EOMONTH($B33,0)))*(DAY(cr_out_date)&gt;DAY($B33)))&gt;0)+(cr_out_rep="Quarterly")*(((DAY(cr_out_date)=DAY($B33))+(DAY($B33)=DAY(EOMONTH($B33,0)))*(DAY(cr_out_date)&gt;DAY($B33)))&gt;0)*(MOD((YEAR($B33)-YEAR(cr_out_date))*12+MONTH($B33)-MONTH(cr_out_date),3)=0)))</f>
        <v>0.0</v>
      </c>
      <c r="F33" s="44">
        <f>F32+D33-E33</f>
        <v>18360.0</v>
      </c>
      <c r="G33" s="45">
        <f>F33-cr_floor</f>
        <v>13360.0</v>
      </c>
      <c r="H33" s="46">
        <f>F33-cr_big_amt*($B33&gt;=cr_big_date)*($B33&lt;cr_big_date+cr_late)</f>
        <v>8560.0</v>
      </c>
    </row>
    <row r="34" spans="2:8" s="1" customFormat="1">
      <c r="B34" s="47">
        <f>B33+1</f>
        <v>46355.0</v>
      </c>
      <c r="C34" s="48" t="str">
        <f t="array" ref="C34">IFERROR(_xlfn.TEXTJOIN("  ·  ",TRUE,IF((cr_in_amt&gt;0)*((cr_in_date&gt;0)*(cr_in_date&lt;=$B34)*(((cr_in_rep="Once")+(cr_in_rep=""))*(cr_in_date=$B34)+(cr_in_rep="Every day")+(cr_in_rep="Weekly")*(MOD($B34-cr_in_date,7)=0)+(cr_in_rep="Every 2 weeks")*(MOD($B34-cr_in_date,14)=0)+(cr_in_rep="Monthly")*(((DAY(cr_in_date)=DAY($B34))+(DAY($B34)=DAY(EOMONTH($B34,0)))*(DAY(cr_in_date)&gt;DAY($B34)))&gt;0)+(cr_in_rep="Quarterly")*(((DAY(cr_in_date)=DAY($B34))+(DAY($B34)=DAY(EOMONTH($B34,0)))*(DAY(cr_in_date)&gt;DAY($B34)))&gt;0)*(MOD((YEAR($B34)-YEAR(cr_in_date))*12+MONTH($B34)-MONTH(cr_in_date),3)=0)))&gt;0,"+ "&amp;cr_in_name,""),IF((cr_out_amt&gt;0)*((cr_out_date&gt;0)*(cr_out_date&lt;=$B34)*(((cr_out_rep="Once")+(cr_out_rep=""))*(cr_out_date=$B34)+(cr_out_rep="Every day")+(cr_out_rep="Weekly")*(MOD($B34-cr_out_date,7)=0)+(cr_out_rep="Every 2 weeks")*(MOD($B34-cr_out_date,14)=0)+(cr_out_rep="Monthly")*(((DAY(cr_out_date)=DAY($B34))+(DAY($B34)=DAY(EOMONTH($B34,0)))*(DAY(cr_out_date)&gt;DAY($B34)))&gt;0)+(cr_out_rep="Quarterly")*(((DAY(cr_out_date)=DAY($B34))+(DAY($B34)=DAY(EOMONTH($B34,0)))*(DAY(cr_out_date)&gt;DAY($B34)))&gt;0)*(MOD((YEAR($B34)-YEAR(cr_out_date))*12+MONTH($B34)-MONTH(cr_out_date),3)=0)))&gt;0,cr_out_name,"")),"")</f>
        <v/>
      </c>
      <c r="D34" s="49">
        <f>SUMPRODUCT(cr_in_amt*(cr_in_date&gt;0)*(cr_in_date&lt;=$B34)*(((cr_in_rep="Once")+(cr_in_rep=""))*(cr_in_date=$B34)+(cr_in_rep="Every day")+(cr_in_rep="Weekly")*(MOD($B34-cr_in_date,7)=0)+(cr_in_rep="Every 2 weeks")*(MOD($B34-cr_in_date,14)=0)+(cr_in_rep="Monthly")*(((DAY(cr_in_date)=DAY($B34))+(DAY($B34)=DAY(EOMONTH($B34,0)))*(DAY(cr_in_date)&gt;DAY($B34)))&gt;0)+(cr_in_rep="Quarterly")*(((DAY(cr_in_date)=DAY($B34))+(DAY($B34)=DAY(EOMONTH($B34,0)))*(DAY(cr_in_date)&gt;DAY($B34)))&gt;0)*(MOD((YEAR($B34)-YEAR(cr_in_date))*12+MONTH($B34)-MONTH(cr_in_date),3)=0)))</f>
        <v>0.0</v>
      </c>
      <c r="E34" s="49">
        <f>SUMPRODUCT(cr_out_amt*(cr_out_date&gt;0)*(cr_out_date&lt;=$B34)*(((cr_out_rep="Once")+(cr_out_rep=""))*(cr_out_date=$B34)+(cr_out_rep="Every day")+(cr_out_rep="Weekly")*(MOD($B34-cr_out_date,7)=0)+(cr_out_rep="Every 2 weeks")*(MOD($B34-cr_out_date,14)=0)+(cr_out_rep="Monthly")*(((DAY(cr_out_date)=DAY($B34))+(DAY($B34)=DAY(EOMONTH($B34,0)))*(DAY(cr_out_date)&gt;DAY($B34)))&gt;0)+(cr_out_rep="Quarterly")*(((DAY(cr_out_date)=DAY($B34))+(DAY($B34)=DAY(EOMONTH($B34,0)))*(DAY(cr_out_date)&gt;DAY($B34)))&gt;0)*(MOD((YEAR($B34)-YEAR(cr_out_date))*12+MONTH($B34)-MONTH(cr_out_date),3)=0)))</f>
        <v>0.0</v>
      </c>
      <c r="F34" s="38">
        <f>F33+D34-E34</f>
        <v>18360.0</v>
      </c>
      <c r="G34" s="39">
        <f>F34-cr_floor</f>
        <v>13360.0</v>
      </c>
      <c r="H34" s="40">
        <f>F34-cr_big_amt*($B34&gt;=cr_big_date)*($B34&lt;cr_big_date+cr_late)</f>
        <v>8560.0</v>
      </c>
    </row>
    <row r="35" spans="2:8" s="1" customFormat="1">
      <c r="B35" s="41">
        <f>B34+1</f>
        <v>46356.0</v>
      </c>
      <c r="C35" s="42" t="str">
        <f t="array" ref="C35">IFERROR(_xlfn.TEXTJOIN("  ·  ",TRUE,IF((cr_in_amt&gt;0)*((cr_in_date&gt;0)*(cr_in_date&lt;=$B35)*(((cr_in_rep="Once")+(cr_in_rep=""))*(cr_in_date=$B35)+(cr_in_rep="Every day")+(cr_in_rep="Weekly")*(MOD($B35-cr_in_date,7)=0)+(cr_in_rep="Every 2 weeks")*(MOD($B35-cr_in_date,14)=0)+(cr_in_rep="Monthly")*(((DAY(cr_in_date)=DAY($B35))+(DAY($B35)=DAY(EOMONTH($B35,0)))*(DAY(cr_in_date)&gt;DAY($B35)))&gt;0)+(cr_in_rep="Quarterly")*(((DAY(cr_in_date)=DAY($B35))+(DAY($B35)=DAY(EOMONTH($B35,0)))*(DAY(cr_in_date)&gt;DAY($B35)))&gt;0)*(MOD((YEAR($B35)-YEAR(cr_in_date))*12+MONTH($B35)-MONTH(cr_in_date),3)=0)))&gt;0,"+ "&amp;cr_in_name,""),IF((cr_out_amt&gt;0)*((cr_out_date&gt;0)*(cr_out_date&lt;=$B35)*(((cr_out_rep="Once")+(cr_out_rep=""))*(cr_out_date=$B35)+(cr_out_rep="Every day")+(cr_out_rep="Weekly")*(MOD($B35-cr_out_date,7)=0)+(cr_out_rep="Every 2 weeks")*(MOD($B35-cr_out_date,14)=0)+(cr_out_rep="Monthly")*(((DAY(cr_out_date)=DAY($B35))+(DAY($B35)=DAY(EOMONTH($B35,0)))*(DAY(cr_out_date)&gt;DAY($B35)))&gt;0)+(cr_out_rep="Quarterly")*(((DAY(cr_out_date)=DAY($B35))+(DAY($B35)=DAY(EOMONTH($B35,0)))*(DAY(cr_out_date)&gt;DAY($B35)))&gt;0)*(MOD((YEAR($B35)-YEAR(cr_out_date))*12+MONTH($B35)-MONTH(cr_out_date),3)=0)))&gt;0,cr_out_name,"")),"")</f>
        <v>Quarterly tax payment, from the accountant</v>
      </c>
      <c r="D35" s="43">
        <f>SUMPRODUCT(cr_in_amt*(cr_in_date&gt;0)*(cr_in_date&lt;=$B35)*(((cr_in_rep="Once")+(cr_in_rep=""))*(cr_in_date=$B35)+(cr_in_rep="Every day")+(cr_in_rep="Weekly")*(MOD($B35-cr_in_date,7)=0)+(cr_in_rep="Every 2 weeks")*(MOD($B35-cr_in_date,14)=0)+(cr_in_rep="Monthly")*(((DAY(cr_in_date)=DAY($B35))+(DAY($B35)=DAY(EOMONTH($B35,0)))*(DAY(cr_in_date)&gt;DAY($B35)))&gt;0)+(cr_in_rep="Quarterly")*(((DAY(cr_in_date)=DAY($B35))+(DAY($B35)=DAY(EOMONTH($B35,0)))*(DAY(cr_in_date)&gt;DAY($B35)))&gt;0)*(MOD((YEAR($B35)-YEAR(cr_in_date))*12+MONTH($B35)-MONTH(cr_in_date),3)=0)))</f>
        <v>0.0</v>
      </c>
      <c r="E35" s="43">
        <f>SUMPRODUCT(cr_out_amt*(cr_out_date&gt;0)*(cr_out_date&lt;=$B35)*(((cr_out_rep="Once")+(cr_out_rep=""))*(cr_out_date=$B35)+(cr_out_rep="Every day")+(cr_out_rep="Weekly")*(MOD($B35-cr_out_date,7)=0)+(cr_out_rep="Every 2 weeks")*(MOD($B35-cr_out_date,14)=0)+(cr_out_rep="Monthly")*(((DAY(cr_out_date)=DAY($B35))+(DAY($B35)=DAY(EOMONTH($B35,0)))*(DAY(cr_out_date)&gt;DAY($B35)))&gt;0)+(cr_out_rep="Quarterly")*(((DAY(cr_out_date)=DAY($B35))+(DAY($B35)=DAY(EOMONTH($B35,0)))*(DAY(cr_out_date)&gt;DAY($B35)))&gt;0)*(MOD((YEAR($B35)-YEAR(cr_out_date))*12+MONTH($B35)-MONTH(cr_out_date),3)=0)))</f>
        <v>4300.0</v>
      </c>
      <c r="F35" s="44">
        <f>F34+D35-E35</f>
        <v>14060.0</v>
      </c>
      <c r="G35" s="45">
        <f>F35-cr_floor</f>
        <v>9060.0</v>
      </c>
      <c r="H35" s="46">
        <f>F35-cr_big_amt*($B35&gt;=cr_big_date)*($B35&lt;cr_big_date+cr_late)</f>
        <v>4260.0</v>
      </c>
    </row>
    <row r="36" spans="2:8" s="1" customFormat="1">
      <c r="B36" s="41">
        <f>B35+1</f>
        <v>46357.0</v>
      </c>
      <c r="C36" s="42" t="str">
        <f t="array" ref="C36">IFERROR(_xlfn.TEXTJOIN("  ·  ",TRUE,IF((cr_in_amt&gt;0)*((cr_in_date&gt;0)*(cr_in_date&lt;=$B36)*(((cr_in_rep="Once")+(cr_in_rep=""))*(cr_in_date=$B36)+(cr_in_rep="Every day")+(cr_in_rep="Weekly")*(MOD($B36-cr_in_date,7)=0)+(cr_in_rep="Every 2 weeks")*(MOD($B36-cr_in_date,14)=0)+(cr_in_rep="Monthly")*(((DAY(cr_in_date)=DAY($B36))+(DAY($B36)=DAY(EOMONTH($B36,0)))*(DAY(cr_in_date)&gt;DAY($B36)))&gt;0)+(cr_in_rep="Quarterly")*(((DAY(cr_in_date)=DAY($B36))+(DAY($B36)=DAY(EOMONTH($B36,0)))*(DAY(cr_in_date)&gt;DAY($B36)))&gt;0)*(MOD((YEAR($B36)-YEAR(cr_in_date))*12+MONTH($B36)-MONTH(cr_in_date),3)=0)))&gt;0,"+ "&amp;cr_in_name,""),IF((cr_out_amt&gt;0)*((cr_out_date&gt;0)*(cr_out_date&lt;=$B36)*(((cr_out_rep="Once")+(cr_out_rep=""))*(cr_out_date=$B36)+(cr_out_rep="Every day")+(cr_out_rep="Weekly")*(MOD($B36-cr_out_date,7)=0)+(cr_out_rep="Every 2 weeks")*(MOD($B36-cr_out_date,14)=0)+(cr_out_rep="Monthly")*(((DAY(cr_out_date)=DAY($B36))+(DAY($B36)=DAY(EOMONTH($B36,0)))*(DAY(cr_out_date)&gt;DAY($B36)))&gt;0)+(cr_out_rep="Quarterly")*(((DAY(cr_out_date)=DAY($B36))+(DAY($B36)=DAY(EOMONTH($B36,0)))*(DAY(cr_out_date)&gt;DAY($B36)))&gt;0)*(MOD((YEAR($B36)-YEAR(cr_out_date))*12+MONTH($B36)-MONTH(cr_out_date),3)=0)))&gt;0,cr_out_name,"")),"")</f>
        <v>Rent</v>
      </c>
      <c r="D36" s="43">
        <f>SUMPRODUCT(cr_in_amt*(cr_in_date&gt;0)*(cr_in_date&lt;=$B36)*(((cr_in_rep="Once")+(cr_in_rep=""))*(cr_in_date=$B36)+(cr_in_rep="Every day")+(cr_in_rep="Weekly")*(MOD($B36-cr_in_date,7)=0)+(cr_in_rep="Every 2 weeks")*(MOD($B36-cr_in_date,14)=0)+(cr_in_rep="Monthly")*(((DAY(cr_in_date)=DAY($B36))+(DAY($B36)=DAY(EOMONTH($B36,0)))*(DAY(cr_in_date)&gt;DAY($B36)))&gt;0)+(cr_in_rep="Quarterly")*(((DAY(cr_in_date)=DAY($B36))+(DAY($B36)=DAY(EOMONTH($B36,0)))*(DAY(cr_in_date)&gt;DAY($B36)))&gt;0)*(MOD((YEAR($B36)-YEAR(cr_in_date))*12+MONTH($B36)-MONTH(cr_in_date),3)=0)))</f>
        <v>0.0</v>
      </c>
      <c r="E36" s="43">
        <f>SUMPRODUCT(cr_out_amt*(cr_out_date&gt;0)*(cr_out_date&lt;=$B36)*(((cr_out_rep="Once")+(cr_out_rep=""))*(cr_out_date=$B36)+(cr_out_rep="Every day")+(cr_out_rep="Weekly")*(MOD($B36-cr_out_date,7)=0)+(cr_out_rep="Every 2 weeks")*(MOD($B36-cr_out_date,14)=0)+(cr_out_rep="Monthly")*(((DAY(cr_out_date)=DAY($B36))+(DAY($B36)=DAY(EOMONTH($B36,0)))*(DAY(cr_out_date)&gt;DAY($B36)))&gt;0)+(cr_out_rep="Quarterly")*(((DAY(cr_out_date)=DAY($B36))+(DAY($B36)=DAY(EOMONTH($B36,0)))*(DAY(cr_out_date)&gt;DAY($B36)))&gt;0)*(MOD((YEAR($B36)-YEAR(cr_out_date))*12+MONTH($B36)-MONTH(cr_out_date),3)=0)))</f>
        <v>3600.0</v>
      </c>
      <c r="F36" s="44">
        <f>F35+D36-E36</f>
        <v>10460.0</v>
      </c>
      <c r="G36" s="45">
        <f>F36-cr_floor</f>
        <v>5460.0</v>
      </c>
      <c r="H36" s="46">
        <f>F36-cr_big_amt*($B36&gt;=cr_big_date)*($B36&lt;cr_big_date+cr_late)</f>
        <v>660.0</v>
      </c>
    </row>
    <row r="37" spans="2:8" s="1" customFormat="1">
      <c r="B37" s="41">
        <f>B36+1</f>
        <v>46358.0</v>
      </c>
      <c r="C37" s="42" t="str">
        <f t="array" ref="C37">IFERROR(_xlfn.TEXTJOIN("  ·  ",TRUE,IF((cr_in_amt&gt;0)*((cr_in_date&gt;0)*(cr_in_date&lt;=$B37)*(((cr_in_rep="Once")+(cr_in_rep=""))*(cr_in_date=$B37)+(cr_in_rep="Every day")+(cr_in_rep="Weekly")*(MOD($B37-cr_in_date,7)=0)+(cr_in_rep="Every 2 weeks")*(MOD($B37-cr_in_date,14)=0)+(cr_in_rep="Monthly")*(((DAY(cr_in_date)=DAY($B37))+(DAY($B37)=DAY(EOMONTH($B37,0)))*(DAY(cr_in_date)&gt;DAY($B37)))&gt;0)+(cr_in_rep="Quarterly")*(((DAY(cr_in_date)=DAY($B37))+(DAY($B37)=DAY(EOMONTH($B37,0)))*(DAY(cr_in_date)&gt;DAY($B37)))&gt;0)*(MOD((YEAR($B37)-YEAR(cr_in_date))*12+MONTH($B37)-MONTH(cr_in_date),3)=0)))&gt;0,"+ "&amp;cr_in_name,""),IF((cr_out_amt&gt;0)*((cr_out_date&gt;0)*(cr_out_date&lt;=$B37)*(((cr_out_rep="Once")+(cr_out_rep=""))*(cr_out_date=$B37)+(cr_out_rep="Every day")+(cr_out_rep="Weekly")*(MOD($B37-cr_out_date,7)=0)+(cr_out_rep="Every 2 weeks")*(MOD($B37-cr_out_date,14)=0)+(cr_out_rep="Monthly")*(((DAY(cr_out_date)=DAY($B37))+(DAY($B37)=DAY(EOMONTH($B37,0)))*(DAY(cr_out_date)&gt;DAY($B37)))&gt;0)+(cr_out_rep="Quarterly")*(((DAY(cr_out_date)=DAY($B37))+(DAY($B37)=DAY(EOMONTH($B37,0)))*(DAY(cr_out_date)&gt;DAY($B37)))&gt;0)*(MOD((YEAR($B37)-YEAR(cr_out_date))*12+MONTH($B37)-MONTH(cr_out_date),3)=0)))&gt;0,cr_out_name,"")),"")</f>
        <v/>
      </c>
      <c r="D37" s="43">
        <f>SUMPRODUCT(cr_in_amt*(cr_in_date&gt;0)*(cr_in_date&lt;=$B37)*(((cr_in_rep="Once")+(cr_in_rep=""))*(cr_in_date=$B37)+(cr_in_rep="Every day")+(cr_in_rep="Weekly")*(MOD($B37-cr_in_date,7)=0)+(cr_in_rep="Every 2 weeks")*(MOD($B37-cr_in_date,14)=0)+(cr_in_rep="Monthly")*(((DAY(cr_in_date)=DAY($B37))+(DAY($B37)=DAY(EOMONTH($B37,0)))*(DAY(cr_in_date)&gt;DAY($B37)))&gt;0)+(cr_in_rep="Quarterly")*(((DAY(cr_in_date)=DAY($B37))+(DAY($B37)=DAY(EOMONTH($B37,0)))*(DAY(cr_in_date)&gt;DAY($B37)))&gt;0)*(MOD((YEAR($B37)-YEAR(cr_in_date))*12+MONTH($B37)-MONTH(cr_in_date),3)=0)))</f>
        <v>0.0</v>
      </c>
      <c r="E37" s="43">
        <f>SUMPRODUCT(cr_out_amt*(cr_out_date&gt;0)*(cr_out_date&lt;=$B37)*(((cr_out_rep="Once")+(cr_out_rep=""))*(cr_out_date=$B37)+(cr_out_rep="Every day")+(cr_out_rep="Weekly")*(MOD($B37-cr_out_date,7)=0)+(cr_out_rep="Every 2 weeks")*(MOD($B37-cr_out_date,14)=0)+(cr_out_rep="Monthly")*(((DAY(cr_out_date)=DAY($B37))+(DAY($B37)=DAY(EOMONTH($B37,0)))*(DAY(cr_out_date)&gt;DAY($B37)))&gt;0)+(cr_out_rep="Quarterly")*(((DAY(cr_out_date)=DAY($B37))+(DAY($B37)=DAY(EOMONTH($B37,0)))*(DAY(cr_out_date)&gt;DAY($B37)))&gt;0)*(MOD((YEAR($B37)-YEAR(cr_out_date))*12+MONTH($B37)-MONTH(cr_out_date),3)=0)))</f>
        <v>0.0</v>
      </c>
      <c r="F37" s="44">
        <f>F36+D37-E37</f>
        <v>10460.0</v>
      </c>
      <c r="G37" s="45">
        <f>F37-cr_floor</f>
        <v>5460.0</v>
      </c>
      <c r="H37" s="46">
        <f>F37-cr_big_amt*($B37&gt;=cr_big_date)*($B37&lt;cr_big_date+cr_late)</f>
        <v>660.0</v>
      </c>
    </row>
    <row r="38" spans="2:8" s="1" customFormat="1">
      <c r="B38" s="41">
        <f>B37+1</f>
        <v>46359.0</v>
      </c>
      <c r="C38" s="42" t="str">
        <f t="array" ref="C38">IFERROR(_xlfn.TEXTJOIN("  ·  ",TRUE,IF((cr_in_amt&gt;0)*((cr_in_date&gt;0)*(cr_in_date&lt;=$B38)*(((cr_in_rep="Once")+(cr_in_rep=""))*(cr_in_date=$B38)+(cr_in_rep="Every day")+(cr_in_rep="Weekly")*(MOD($B38-cr_in_date,7)=0)+(cr_in_rep="Every 2 weeks")*(MOD($B38-cr_in_date,14)=0)+(cr_in_rep="Monthly")*(((DAY(cr_in_date)=DAY($B38))+(DAY($B38)=DAY(EOMONTH($B38,0)))*(DAY(cr_in_date)&gt;DAY($B38)))&gt;0)+(cr_in_rep="Quarterly")*(((DAY(cr_in_date)=DAY($B38))+(DAY($B38)=DAY(EOMONTH($B38,0)))*(DAY(cr_in_date)&gt;DAY($B38)))&gt;0)*(MOD((YEAR($B38)-YEAR(cr_in_date))*12+MONTH($B38)-MONTH(cr_in_date),3)=0)))&gt;0,"+ "&amp;cr_in_name,""),IF((cr_out_amt&gt;0)*((cr_out_date&gt;0)*(cr_out_date&lt;=$B38)*(((cr_out_rep="Once")+(cr_out_rep=""))*(cr_out_date=$B38)+(cr_out_rep="Every day")+(cr_out_rep="Weekly")*(MOD($B38-cr_out_date,7)=0)+(cr_out_rep="Every 2 weeks")*(MOD($B38-cr_out_date,14)=0)+(cr_out_rep="Monthly")*(((DAY(cr_out_date)=DAY($B38))+(DAY($B38)=DAY(EOMONTH($B38,0)))*(DAY(cr_out_date)&gt;DAY($B38)))&gt;0)+(cr_out_rep="Quarterly")*(((DAY(cr_out_date)=DAY($B38))+(DAY($B38)=DAY(EOMONTH($B38,0)))*(DAY(cr_out_date)&gt;DAY($B38)))&gt;0)*(MOD((YEAR($B38)-YEAR(cr_out_date))*12+MONTH($B38)-MONTH(cr_out_date),3)=0)))&gt;0,cr_out_name,"")),"")</f>
        <v/>
      </c>
      <c r="D38" s="43">
        <f>SUMPRODUCT(cr_in_amt*(cr_in_date&gt;0)*(cr_in_date&lt;=$B38)*(((cr_in_rep="Once")+(cr_in_rep=""))*(cr_in_date=$B38)+(cr_in_rep="Every day")+(cr_in_rep="Weekly")*(MOD($B38-cr_in_date,7)=0)+(cr_in_rep="Every 2 weeks")*(MOD($B38-cr_in_date,14)=0)+(cr_in_rep="Monthly")*(((DAY(cr_in_date)=DAY($B38))+(DAY($B38)=DAY(EOMONTH($B38,0)))*(DAY(cr_in_date)&gt;DAY($B38)))&gt;0)+(cr_in_rep="Quarterly")*(((DAY(cr_in_date)=DAY($B38))+(DAY($B38)=DAY(EOMONTH($B38,0)))*(DAY(cr_in_date)&gt;DAY($B38)))&gt;0)*(MOD((YEAR($B38)-YEAR(cr_in_date))*12+MONTH($B38)-MONTH(cr_in_date),3)=0)))</f>
        <v>0.0</v>
      </c>
      <c r="E38" s="43">
        <f>SUMPRODUCT(cr_out_amt*(cr_out_date&gt;0)*(cr_out_date&lt;=$B38)*(((cr_out_rep="Once")+(cr_out_rep=""))*(cr_out_date=$B38)+(cr_out_rep="Every day")+(cr_out_rep="Weekly")*(MOD($B38-cr_out_date,7)=0)+(cr_out_rep="Every 2 weeks")*(MOD($B38-cr_out_date,14)=0)+(cr_out_rep="Monthly")*(((DAY(cr_out_date)=DAY($B38))+(DAY($B38)=DAY(EOMONTH($B38,0)))*(DAY(cr_out_date)&gt;DAY($B38)))&gt;0)+(cr_out_rep="Quarterly")*(((DAY(cr_out_date)=DAY($B38))+(DAY($B38)=DAY(EOMONTH($B38,0)))*(DAY(cr_out_date)&gt;DAY($B38)))&gt;0)*(MOD((YEAR($B38)-YEAR(cr_out_date))*12+MONTH($B38)-MONTH(cr_out_date),3)=0)))</f>
        <v>0.0</v>
      </c>
      <c r="F38" s="44">
        <f>F37+D38-E38</f>
        <v>10460.0</v>
      </c>
      <c r="G38" s="45">
        <f>F38-cr_floor</f>
        <v>5460.0</v>
      </c>
      <c r="H38" s="46">
        <f>F38-cr_big_amt*($B38&gt;=cr_big_date)*($B38&lt;cr_big_date+cr_late)</f>
        <v>660.0</v>
      </c>
    </row>
    <row r="39" spans="2:8" s="1" customFormat="1">
      <c r="B39" s="41">
        <f>B38+1</f>
        <v>46360.0</v>
      </c>
      <c r="C39" s="42" t="str">
        <f t="array" ref="C39">IFERROR(_xlfn.TEXTJOIN("  ·  ",TRUE,IF((cr_in_amt&gt;0)*((cr_in_date&gt;0)*(cr_in_date&lt;=$B39)*(((cr_in_rep="Once")+(cr_in_rep=""))*(cr_in_date=$B39)+(cr_in_rep="Every day")+(cr_in_rep="Weekly")*(MOD($B39-cr_in_date,7)=0)+(cr_in_rep="Every 2 weeks")*(MOD($B39-cr_in_date,14)=0)+(cr_in_rep="Monthly")*(((DAY(cr_in_date)=DAY($B39))+(DAY($B39)=DAY(EOMONTH($B39,0)))*(DAY(cr_in_date)&gt;DAY($B39)))&gt;0)+(cr_in_rep="Quarterly")*(((DAY(cr_in_date)=DAY($B39))+(DAY($B39)=DAY(EOMONTH($B39,0)))*(DAY(cr_in_date)&gt;DAY($B39)))&gt;0)*(MOD((YEAR($B39)-YEAR(cr_in_date))*12+MONTH($B39)-MONTH(cr_in_date),3)=0)))&gt;0,"+ "&amp;cr_in_name,""),IF((cr_out_amt&gt;0)*((cr_out_date&gt;0)*(cr_out_date&lt;=$B39)*(((cr_out_rep="Once")+(cr_out_rep=""))*(cr_out_date=$B39)+(cr_out_rep="Every day")+(cr_out_rep="Weekly")*(MOD($B39-cr_out_date,7)=0)+(cr_out_rep="Every 2 weeks")*(MOD($B39-cr_out_date,14)=0)+(cr_out_rep="Monthly")*(((DAY(cr_out_date)=DAY($B39))+(DAY($B39)=DAY(EOMONTH($B39,0)))*(DAY(cr_out_date)&gt;DAY($B39)))&gt;0)+(cr_out_rep="Quarterly")*(((DAY(cr_out_date)=DAY($B39))+(DAY($B39)=DAY(EOMONTH($B39,0)))*(DAY(cr_out_date)&gt;DAY($B39)))&gt;0)*(MOD((YEAR($B39)-YEAR(cr_out_date))*12+MONTH($B39)-MONTH(cr_out_date),3)=0)))&gt;0,cr_out_name,"")),"")</f>
        <v>+ Shop takings (typical week)  ·  Wages</v>
      </c>
      <c r="D39" s="43">
        <f>SUMPRODUCT(cr_in_amt*(cr_in_date&gt;0)*(cr_in_date&lt;=$B39)*(((cr_in_rep="Once")+(cr_in_rep=""))*(cr_in_date=$B39)+(cr_in_rep="Every day")+(cr_in_rep="Weekly")*(MOD($B39-cr_in_date,7)=0)+(cr_in_rep="Every 2 weeks")*(MOD($B39-cr_in_date,14)=0)+(cr_in_rep="Monthly")*(((DAY(cr_in_date)=DAY($B39))+(DAY($B39)=DAY(EOMONTH($B39,0)))*(DAY(cr_in_date)&gt;DAY($B39)))&gt;0)+(cr_in_rep="Quarterly")*(((DAY(cr_in_date)=DAY($B39))+(DAY($B39)=DAY(EOMONTH($B39,0)))*(DAY(cr_in_date)&gt;DAY($B39)))&gt;0)*(MOD((YEAR($B39)-YEAR(cr_in_date))*12+MONTH($B39)-MONTH(cr_in_date),3)=0)))</f>
        <v>2600.0</v>
      </c>
      <c r="E39" s="43">
        <f>SUMPRODUCT(cr_out_amt*(cr_out_date&gt;0)*(cr_out_date&lt;=$B39)*(((cr_out_rep="Once")+(cr_out_rep=""))*(cr_out_date=$B39)+(cr_out_rep="Every day")+(cr_out_rep="Weekly")*(MOD($B39-cr_out_date,7)=0)+(cr_out_rep="Every 2 weeks")*(MOD($B39-cr_out_date,14)=0)+(cr_out_rep="Monthly")*(((DAY(cr_out_date)=DAY($B39))+(DAY($B39)=DAY(EOMONTH($B39,0)))*(DAY(cr_out_date)&gt;DAY($B39)))&gt;0)+(cr_out_rep="Quarterly")*(((DAY(cr_out_date)=DAY($B39))+(DAY($B39)=DAY(EOMONTH($B39,0)))*(DAY(cr_out_date)&gt;DAY($B39)))&gt;0)*(MOD((YEAR($B39)-YEAR(cr_out_date))*12+MONTH($B39)-MONTH(cr_out_date),3)=0)))</f>
        <v>3400.0</v>
      </c>
      <c r="F39" s="44">
        <f>F38+D39-E39</f>
        <v>9660.0</v>
      </c>
      <c r="G39" s="45">
        <f>F39-cr_floor</f>
        <v>4660.0</v>
      </c>
      <c r="H39" s="46">
        <f>F39-cr_big_amt*($B39&gt;=cr_big_date)*($B39&lt;cr_big_date+cr_late)</f>
        <v>9660.0</v>
      </c>
    </row>
    <row r="40" spans="2:8" s="1" customFormat="1">
      <c r="B40" s="41">
        <f>B39+1</f>
        <v>46361.0</v>
      </c>
      <c r="C40" s="42" t="str">
        <f t="array" ref="C40">IFERROR(_xlfn.TEXTJOIN("  ·  ",TRUE,IF((cr_in_amt&gt;0)*((cr_in_date&gt;0)*(cr_in_date&lt;=$B40)*(((cr_in_rep="Once")+(cr_in_rep=""))*(cr_in_date=$B40)+(cr_in_rep="Every day")+(cr_in_rep="Weekly")*(MOD($B40-cr_in_date,7)=0)+(cr_in_rep="Every 2 weeks")*(MOD($B40-cr_in_date,14)=0)+(cr_in_rep="Monthly")*(((DAY(cr_in_date)=DAY($B40))+(DAY($B40)=DAY(EOMONTH($B40,0)))*(DAY(cr_in_date)&gt;DAY($B40)))&gt;0)+(cr_in_rep="Quarterly")*(((DAY(cr_in_date)=DAY($B40))+(DAY($B40)=DAY(EOMONTH($B40,0)))*(DAY(cr_in_date)&gt;DAY($B40)))&gt;0)*(MOD((YEAR($B40)-YEAR(cr_in_date))*12+MONTH($B40)-MONTH(cr_in_date),3)=0)))&gt;0,"+ "&amp;cr_in_name,""),IF((cr_out_amt&gt;0)*((cr_out_date&gt;0)*(cr_out_date&lt;=$B40)*(((cr_out_rep="Once")+(cr_out_rep=""))*(cr_out_date=$B40)+(cr_out_rep="Every day")+(cr_out_rep="Weekly")*(MOD($B40-cr_out_date,7)=0)+(cr_out_rep="Every 2 weeks")*(MOD($B40-cr_out_date,14)=0)+(cr_out_rep="Monthly")*(((DAY(cr_out_date)=DAY($B40))+(DAY($B40)=DAY(EOMONTH($B40,0)))*(DAY(cr_out_date)&gt;DAY($B40)))&gt;0)+(cr_out_rep="Quarterly")*(((DAY(cr_out_date)=DAY($B40))+(DAY($B40)=DAY(EOMONTH($B40,0)))*(DAY(cr_out_date)&gt;DAY($B40)))&gt;0)*(MOD((YEAR($B40)-YEAR(cr_out_date))*12+MONTH($B40)-MONTH(cr_out_date),3)=0)))&gt;0,cr_out_name,"")),"")</f>
        <v/>
      </c>
      <c r="D40" s="43">
        <f>SUMPRODUCT(cr_in_amt*(cr_in_date&gt;0)*(cr_in_date&lt;=$B40)*(((cr_in_rep="Once")+(cr_in_rep=""))*(cr_in_date=$B40)+(cr_in_rep="Every day")+(cr_in_rep="Weekly")*(MOD($B40-cr_in_date,7)=0)+(cr_in_rep="Every 2 weeks")*(MOD($B40-cr_in_date,14)=0)+(cr_in_rep="Monthly")*(((DAY(cr_in_date)=DAY($B40))+(DAY($B40)=DAY(EOMONTH($B40,0)))*(DAY(cr_in_date)&gt;DAY($B40)))&gt;0)+(cr_in_rep="Quarterly")*(((DAY(cr_in_date)=DAY($B40))+(DAY($B40)=DAY(EOMONTH($B40,0)))*(DAY(cr_in_date)&gt;DAY($B40)))&gt;0)*(MOD((YEAR($B40)-YEAR(cr_in_date))*12+MONTH($B40)-MONTH(cr_in_date),3)=0)))</f>
        <v>0.0</v>
      </c>
      <c r="E40" s="43">
        <f>SUMPRODUCT(cr_out_amt*(cr_out_date&gt;0)*(cr_out_date&lt;=$B40)*(((cr_out_rep="Once")+(cr_out_rep=""))*(cr_out_date=$B40)+(cr_out_rep="Every day")+(cr_out_rep="Weekly")*(MOD($B40-cr_out_date,7)=0)+(cr_out_rep="Every 2 weeks")*(MOD($B40-cr_out_date,14)=0)+(cr_out_rep="Monthly")*(((DAY(cr_out_date)=DAY($B40))+(DAY($B40)=DAY(EOMONTH($B40,0)))*(DAY(cr_out_date)&gt;DAY($B40)))&gt;0)+(cr_out_rep="Quarterly")*(((DAY(cr_out_date)=DAY($B40))+(DAY($B40)=DAY(EOMONTH($B40,0)))*(DAY(cr_out_date)&gt;DAY($B40)))&gt;0)*(MOD((YEAR($B40)-YEAR(cr_out_date))*12+MONTH($B40)-MONTH(cr_out_date),3)=0)))</f>
        <v>0.0</v>
      </c>
      <c r="F40" s="44">
        <f>F39+D40-E40</f>
        <v>9660.0</v>
      </c>
      <c r="G40" s="45">
        <f>F40-cr_floor</f>
        <v>4660.0</v>
      </c>
      <c r="H40" s="46">
        <f>F40-cr_big_amt*($B40&gt;=cr_big_date)*($B40&lt;cr_big_date+cr_late)</f>
        <v>9660.0</v>
      </c>
    </row>
    <row r="41" spans="2:8" s="1" customFormat="1">
      <c r="B41" s="47">
        <f>B40+1</f>
        <v>46362.0</v>
      </c>
      <c r="C41" s="48" t="str">
        <f t="array" ref="C41">IFERROR(_xlfn.TEXTJOIN("  ·  ",TRUE,IF((cr_in_amt&gt;0)*((cr_in_date&gt;0)*(cr_in_date&lt;=$B41)*(((cr_in_rep="Once")+(cr_in_rep=""))*(cr_in_date=$B41)+(cr_in_rep="Every day")+(cr_in_rep="Weekly")*(MOD($B41-cr_in_date,7)=0)+(cr_in_rep="Every 2 weeks")*(MOD($B41-cr_in_date,14)=0)+(cr_in_rep="Monthly")*(((DAY(cr_in_date)=DAY($B41))+(DAY($B41)=DAY(EOMONTH($B41,0)))*(DAY(cr_in_date)&gt;DAY($B41)))&gt;0)+(cr_in_rep="Quarterly")*(((DAY(cr_in_date)=DAY($B41))+(DAY($B41)=DAY(EOMONTH($B41,0)))*(DAY(cr_in_date)&gt;DAY($B41)))&gt;0)*(MOD((YEAR($B41)-YEAR(cr_in_date))*12+MONTH($B41)-MONTH(cr_in_date),3)=0)))&gt;0,"+ "&amp;cr_in_name,""),IF((cr_out_amt&gt;0)*((cr_out_date&gt;0)*(cr_out_date&lt;=$B41)*(((cr_out_rep="Once")+(cr_out_rep=""))*(cr_out_date=$B41)+(cr_out_rep="Every day")+(cr_out_rep="Weekly")*(MOD($B41-cr_out_date,7)=0)+(cr_out_rep="Every 2 weeks")*(MOD($B41-cr_out_date,14)=0)+(cr_out_rep="Monthly")*(((DAY(cr_out_date)=DAY($B41))+(DAY($B41)=DAY(EOMONTH($B41,0)))*(DAY(cr_out_date)&gt;DAY($B41)))&gt;0)+(cr_out_rep="Quarterly")*(((DAY(cr_out_date)=DAY($B41))+(DAY($B41)=DAY(EOMONTH($B41,0)))*(DAY(cr_out_date)&gt;DAY($B41)))&gt;0)*(MOD((YEAR($B41)-YEAR(cr_out_date))*12+MONTH($B41)-MONTH(cr_out_date),3)=0)))&gt;0,cr_out_name,"")),"")</f>
        <v/>
      </c>
      <c r="D41" s="49">
        <f>SUMPRODUCT(cr_in_amt*(cr_in_date&gt;0)*(cr_in_date&lt;=$B41)*(((cr_in_rep="Once")+(cr_in_rep=""))*(cr_in_date=$B41)+(cr_in_rep="Every day")+(cr_in_rep="Weekly")*(MOD($B41-cr_in_date,7)=0)+(cr_in_rep="Every 2 weeks")*(MOD($B41-cr_in_date,14)=0)+(cr_in_rep="Monthly")*(((DAY(cr_in_date)=DAY($B41))+(DAY($B41)=DAY(EOMONTH($B41,0)))*(DAY(cr_in_date)&gt;DAY($B41)))&gt;0)+(cr_in_rep="Quarterly")*(((DAY(cr_in_date)=DAY($B41))+(DAY($B41)=DAY(EOMONTH($B41,0)))*(DAY(cr_in_date)&gt;DAY($B41)))&gt;0)*(MOD((YEAR($B41)-YEAR(cr_in_date))*12+MONTH($B41)-MONTH(cr_in_date),3)=0)))</f>
        <v>0.0</v>
      </c>
      <c r="E41" s="49">
        <f>SUMPRODUCT(cr_out_amt*(cr_out_date&gt;0)*(cr_out_date&lt;=$B41)*(((cr_out_rep="Once")+(cr_out_rep=""))*(cr_out_date=$B41)+(cr_out_rep="Every day")+(cr_out_rep="Weekly")*(MOD($B41-cr_out_date,7)=0)+(cr_out_rep="Every 2 weeks")*(MOD($B41-cr_out_date,14)=0)+(cr_out_rep="Monthly")*(((DAY(cr_out_date)=DAY($B41))+(DAY($B41)=DAY(EOMONTH($B41,0)))*(DAY(cr_out_date)&gt;DAY($B41)))&gt;0)+(cr_out_rep="Quarterly")*(((DAY(cr_out_date)=DAY($B41))+(DAY($B41)=DAY(EOMONTH($B41,0)))*(DAY(cr_out_date)&gt;DAY($B41)))&gt;0)*(MOD((YEAR($B41)-YEAR(cr_out_date))*12+MONTH($B41)-MONTH(cr_out_date),3)=0)))</f>
        <v>0.0</v>
      </c>
      <c r="F41" s="38">
        <f>F40+D41-E41</f>
        <v>9660.0</v>
      </c>
      <c r="G41" s="39">
        <f>F41-cr_floor</f>
        <v>4660.0</v>
      </c>
      <c r="H41" s="40">
        <f>F41-cr_big_amt*($B41&gt;=cr_big_date)*($B41&lt;cr_big_date+cr_late)</f>
        <v>9660.0</v>
      </c>
    </row>
    <row r="42" spans="2:8" s="1" customFormat="1">
      <c r="B42" s="41">
        <f>B41+1</f>
        <v>46363.0</v>
      </c>
      <c r="C42" s="42" t="str">
        <f t="array" ref="C42">IFERROR(_xlfn.TEXTJOIN("  ·  ",TRUE,IF((cr_in_amt&gt;0)*((cr_in_date&gt;0)*(cr_in_date&lt;=$B42)*(((cr_in_rep="Once")+(cr_in_rep=""))*(cr_in_date=$B42)+(cr_in_rep="Every day")+(cr_in_rep="Weekly")*(MOD($B42-cr_in_date,7)=0)+(cr_in_rep="Every 2 weeks")*(MOD($B42-cr_in_date,14)=0)+(cr_in_rep="Monthly")*(((DAY(cr_in_date)=DAY($B42))+(DAY($B42)=DAY(EOMONTH($B42,0)))*(DAY(cr_in_date)&gt;DAY($B42)))&gt;0)+(cr_in_rep="Quarterly")*(((DAY(cr_in_date)=DAY($B42))+(DAY($B42)=DAY(EOMONTH($B42,0)))*(DAY(cr_in_date)&gt;DAY($B42)))&gt;0)*(MOD((YEAR($B42)-YEAR(cr_in_date))*12+MONTH($B42)-MONTH(cr_in_date),3)=0)))&gt;0,"+ "&amp;cr_in_name,""),IF((cr_out_amt&gt;0)*((cr_out_date&gt;0)*(cr_out_date&lt;=$B42)*(((cr_out_rep="Once")+(cr_out_rep=""))*(cr_out_date=$B42)+(cr_out_rep="Every day")+(cr_out_rep="Weekly")*(MOD($B42-cr_out_date,7)=0)+(cr_out_rep="Every 2 weeks")*(MOD($B42-cr_out_date,14)=0)+(cr_out_rep="Monthly")*(((DAY(cr_out_date)=DAY($B42))+(DAY($B42)=DAY(EOMONTH($B42,0)))*(DAY(cr_out_date)&gt;DAY($B42)))&gt;0)+(cr_out_rep="Quarterly")*(((DAY(cr_out_date)=DAY($B42))+(DAY($B42)=DAY(EOMONTH($B42,0)))*(DAY(cr_out_date)&gt;DAY($B42)))&gt;0)*(MOD((YEAR($B42)-YEAR(cr_out_date))*12+MONTH($B42)-MONTH(cr_out_date),3)=0)))&gt;0,cr_out_name,"")),"")</f>
        <v/>
      </c>
      <c r="D42" s="43">
        <f>SUMPRODUCT(cr_in_amt*(cr_in_date&gt;0)*(cr_in_date&lt;=$B42)*(((cr_in_rep="Once")+(cr_in_rep=""))*(cr_in_date=$B42)+(cr_in_rep="Every day")+(cr_in_rep="Weekly")*(MOD($B42-cr_in_date,7)=0)+(cr_in_rep="Every 2 weeks")*(MOD($B42-cr_in_date,14)=0)+(cr_in_rep="Monthly")*(((DAY(cr_in_date)=DAY($B42))+(DAY($B42)=DAY(EOMONTH($B42,0)))*(DAY(cr_in_date)&gt;DAY($B42)))&gt;0)+(cr_in_rep="Quarterly")*(((DAY(cr_in_date)=DAY($B42))+(DAY($B42)=DAY(EOMONTH($B42,0)))*(DAY(cr_in_date)&gt;DAY($B42)))&gt;0)*(MOD((YEAR($B42)-YEAR(cr_in_date))*12+MONTH($B42)-MONTH(cr_in_date),3)=0)))</f>
        <v>0.0</v>
      </c>
      <c r="E42" s="43">
        <f>SUMPRODUCT(cr_out_amt*(cr_out_date&gt;0)*(cr_out_date&lt;=$B42)*(((cr_out_rep="Once")+(cr_out_rep=""))*(cr_out_date=$B42)+(cr_out_rep="Every day")+(cr_out_rep="Weekly")*(MOD($B42-cr_out_date,7)=0)+(cr_out_rep="Every 2 weeks")*(MOD($B42-cr_out_date,14)=0)+(cr_out_rep="Monthly")*(((DAY(cr_out_date)=DAY($B42))+(DAY($B42)=DAY(EOMONTH($B42,0)))*(DAY(cr_out_date)&gt;DAY($B42)))&gt;0)+(cr_out_rep="Quarterly")*(((DAY(cr_out_date)=DAY($B42))+(DAY($B42)=DAY(EOMONTH($B42,0)))*(DAY(cr_out_date)&gt;DAY($B42)))&gt;0)*(MOD((YEAR($B42)-YEAR(cr_out_date))*12+MONTH($B42)-MONTH(cr_out_date),3)=0)))</f>
        <v>0.0</v>
      </c>
      <c r="F42" s="44">
        <f>F41+D42-E42</f>
        <v>9660.0</v>
      </c>
      <c r="G42" s="45">
        <f>F42-cr_floor</f>
        <v>4660.0</v>
      </c>
      <c r="H42" s="46">
        <f>F42-cr_big_amt*($B42&gt;=cr_big_date)*($B42&lt;cr_big_date+cr_late)</f>
        <v>9660.0</v>
      </c>
    </row>
    <row r="43" spans="2:8" s="1" customFormat="1">
      <c r="B43" s="41">
        <f>B42+1</f>
        <v>46364.0</v>
      </c>
      <c r="C43" s="42" t="str">
        <f t="array" ref="C43">IFERROR(_xlfn.TEXTJOIN("  ·  ",TRUE,IF((cr_in_amt&gt;0)*((cr_in_date&gt;0)*(cr_in_date&lt;=$B43)*(((cr_in_rep="Once")+(cr_in_rep=""))*(cr_in_date=$B43)+(cr_in_rep="Every day")+(cr_in_rep="Weekly")*(MOD($B43-cr_in_date,7)=0)+(cr_in_rep="Every 2 weeks")*(MOD($B43-cr_in_date,14)=0)+(cr_in_rep="Monthly")*(((DAY(cr_in_date)=DAY($B43))+(DAY($B43)=DAY(EOMONTH($B43,0)))*(DAY(cr_in_date)&gt;DAY($B43)))&gt;0)+(cr_in_rep="Quarterly")*(((DAY(cr_in_date)=DAY($B43))+(DAY($B43)=DAY(EOMONTH($B43,0)))*(DAY(cr_in_date)&gt;DAY($B43)))&gt;0)*(MOD((YEAR($B43)-YEAR(cr_in_date))*12+MONTH($B43)-MONTH(cr_in_date),3)=0)))&gt;0,"+ "&amp;cr_in_name,""),IF((cr_out_amt&gt;0)*((cr_out_date&gt;0)*(cr_out_date&lt;=$B43)*(((cr_out_rep="Once")+(cr_out_rep=""))*(cr_out_date=$B43)+(cr_out_rep="Every day")+(cr_out_rep="Weekly")*(MOD($B43-cr_out_date,7)=0)+(cr_out_rep="Every 2 weeks")*(MOD($B43-cr_out_date,14)=0)+(cr_out_rep="Monthly")*(((DAY(cr_out_date)=DAY($B43))+(DAY($B43)=DAY(EOMONTH($B43,0)))*(DAY(cr_out_date)&gt;DAY($B43)))&gt;0)+(cr_out_rep="Quarterly")*(((DAY(cr_out_date)=DAY($B43))+(DAY($B43)=DAY(EOMONTH($B43,0)))*(DAY(cr_out_date)&gt;DAY($B43)))&gt;0)*(MOD((YEAR($B43)-YEAR(cr_out_date))*12+MONTH($B43)-MONTH(cr_out_date),3)=0)))&gt;0,cr_out_name,"")),"")</f>
        <v/>
      </c>
      <c r="D43" s="43">
        <f>SUMPRODUCT(cr_in_amt*(cr_in_date&gt;0)*(cr_in_date&lt;=$B43)*(((cr_in_rep="Once")+(cr_in_rep=""))*(cr_in_date=$B43)+(cr_in_rep="Every day")+(cr_in_rep="Weekly")*(MOD($B43-cr_in_date,7)=0)+(cr_in_rep="Every 2 weeks")*(MOD($B43-cr_in_date,14)=0)+(cr_in_rep="Monthly")*(((DAY(cr_in_date)=DAY($B43))+(DAY($B43)=DAY(EOMONTH($B43,0)))*(DAY(cr_in_date)&gt;DAY($B43)))&gt;0)+(cr_in_rep="Quarterly")*(((DAY(cr_in_date)=DAY($B43))+(DAY($B43)=DAY(EOMONTH($B43,0)))*(DAY(cr_in_date)&gt;DAY($B43)))&gt;0)*(MOD((YEAR($B43)-YEAR(cr_in_date))*12+MONTH($B43)-MONTH(cr_in_date),3)=0)))</f>
        <v>0.0</v>
      </c>
      <c r="E43" s="43">
        <f>SUMPRODUCT(cr_out_amt*(cr_out_date&gt;0)*(cr_out_date&lt;=$B43)*(((cr_out_rep="Once")+(cr_out_rep=""))*(cr_out_date=$B43)+(cr_out_rep="Every day")+(cr_out_rep="Weekly")*(MOD($B43-cr_out_date,7)=0)+(cr_out_rep="Every 2 weeks")*(MOD($B43-cr_out_date,14)=0)+(cr_out_rep="Monthly")*(((DAY(cr_out_date)=DAY($B43))+(DAY($B43)=DAY(EOMONTH($B43,0)))*(DAY(cr_out_date)&gt;DAY($B43)))&gt;0)+(cr_out_rep="Quarterly")*(((DAY(cr_out_date)=DAY($B43))+(DAY($B43)=DAY(EOMONTH($B43,0)))*(DAY(cr_out_date)&gt;DAY($B43)))&gt;0)*(MOD((YEAR($B43)-YEAR(cr_out_date))*12+MONTH($B43)-MONTH(cr_out_date),3)=0)))</f>
        <v>0.0</v>
      </c>
      <c r="F43" s="44">
        <f>F42+D43-E43</f>
        <v>9660.0</v>
      </c>
      <c r="G43" s="45">
        <f>F43-cr_floor</f>
        <v>4660.0</v>
      </c>
      <c r="H43" s="46">
        <f>F43-cr_big_amt*($B43&gt;=cr_big_date)*($B43&lt;cr_big_date+cr_late)</f>
        <v>9660.0</v>
      </c>
    </row>
    <row r="44" spans="2:8" s="1" customFormat="1">
      <c r="B44" s="41">
        <f>B43+1</f>
        <v>46365.0</v>
      </c>
      <c r="C44" s="42" t="str">
        <f t="array" ref="C44">IFERROR(_xlfn.TEXTJOIN("  ·  ",TRUE,IF((cr_in_amt&gt;0)*((cr_in_date&gt;0)*(cr_in_date&lt;=$B44)*(((cr_in_rep="Once")+(cr_in_rep=""))*(cr_in_date=$B44)+(cr_in_rep="Every day")+(cr_in_rep="Weekly")*(MOD($B44-cr_in_date,7)=0)+(cr_in_rep="Every 2 weeks")*(MOD($B44-cr_in_date,14)=0)+(cr_in_rep="Monthly")*(((DAY(cr_in_date)=DAY($B44))+(DAY($B44)=DAY(EOMONTH($B44,0)))*(DAY(cr_in_date)&gt;DAY($B44)))&gt;0)+(cr_in_rep="Quarterly")*(((DAY(cr_in_date)=DAY($B44))+(DAY($B44)=DAY(EOMONTH($B44,0)))*(DAY(cr_in_date)&gt;DAY($B44)))&gt;0)*(MOD((YEAR($B44)-YEAR(cr_in_date))*12+MONTH($B44)-MONTH(cr_in_date),3)=0)))&gt;0,"+ "&amp;cr_in_name,""),IF((cr_out_amt&gt;0)*((cr_out_date&gt;0)*(cr_out_date&lt;=$B44)*(((cr_out_rep="Once")+(cr_out_rep=""))*(cr_out_date=$B44)+(cr_out_rep="Every day")+(cr_out_rep="Weekly")*(MOD($B44-cr_out_date,7)=0)+(cr_out_rep="Every 2 weeks")*(MOD($B44-cr_out_date,14)=0)+(cr_out_rep="Monthly")*(((DAY(cr_out_date)=DAY($B44))+(DAY($B44)=DAY(EOMONTH($B44,0)))*(DAY(cr_out_date)&gt;DAY($B44)))&gt;0)+(cr_out_rep="Quarterly")*(((DAY(cr_out_date)=DAY($B44))+(DAY($B44)=DAY(EOMONTH($B44,0)))*(DAY(cr_out_date)&gt;DAY($B44)))&gt;0)*(MOD((YEAR($B44)-YEAR(cr_out_date))*12+MONTH($B44)-MONTH(cr_out_date),3)=0)))&gt;0,cr_out_name,"")),"")</f>
        <v>Card reader and software</v>
      </c>
      <c r="D44" s="43">
        <f>SUMPRODUCT(cr_in_amt*(cr_in_date&gt;0)*(cr_in_date&lt;=$B44)*(((cr_in_rep="Once")+(cr_in_rep=""))*(cr_in_date=$B44)+(cr_in_rep="Every day")+(cr_in_rep="Weekly")*(MOD($B44-cr_in_date,7)=0)+(cr_in_rep="Every 2 weeks")*(MOD($B44-cr_in_date,14)=0)+(cr_in_rep="Monthly")*(((DAY(cr_in_date)=DAY($B44))+(DAY($B44)=DAY(EOMONTH($B44,0)))*(DAY(cr_in_date)&gt;DAY($B44)))&gt;0)+(cr_in_rep="Quarterly")*(((DAY(cr_in_date)=DAY($B44))+(DAY($B44)=DAY(EOMONTH($B44,0)))*(DAY(cr_in_date)&gt;DAY($B44)))&gt;0)*(MOD((YEAR($B44)-YEAR(cr_in_date))*12+MONTH($B44)-MONTH(cr_in_date),3)=0)))</f>
        <v>0.0</v>
      </c>
      <c r="E44" s="43">
        <f>SUMPRODUCT(cr_out_amt*(cr_out_date&gt;0)*(cr_out_date&lt;=$B44)*(((cr_out_rep="Once")+(cr_out_rep=""))*(cr_out_date=$B44)+(cr_out_rep="Every day")+(cr_out_rep="Weekly")*(MOD($B44-cr_out_date,7)=0)+(cr_out_rep="Every 2 weeks")*(MOD($B44-cr_out_date,14)=0)+(cr_out_rep="Monthly")*(((DAY(cr_out_date)=DAY($B44))+(DAY($B44)=DAY(EOMONTH($B44,0)))*(DAY(cr_out_date)&gt;DAY($B44)))&gt;0)+(cr_out_rep="Quarterly")*(((DAY(cr_out_date)=DAY($B44))+(DAY($B44)=DAY(EOMONTH($B44,0)))*(DAY(cr_out_date)&gt;DAY($B44)))&gt;0)*(MOD((YEAR($B44)-YEAR(cr_out_date))*12+MONTH($B44)-MONTH(cr_out_date),3)=0)))</f>
        <v>190.0</v>
      </c>
      <c r="F44" s="44">
        <f>F43+D44-E44</f>
        <v>9470.0</v>
      </c>
      <c r="G44" s="45">
        <f>F44-cr_floor</f>
        <v>4470.0</v>
      </c>
      <c r="H44" s="46">
        <f>F44-cr_big_amt*($B44&gt;=cr_big_date)*($B44&lt;cr_big_date+cr_late)</f>
        <v>9470.0</v>
      </c>
    </row>
    <row r="45" spans="2:8" s="1" customFormat="1">
      <c r="B45" s="41">
        <f>B44+1</f>
        <v>46366.0</v>
      </c>
      <c r="C45" s="42" t="str">
        <f t="array" ref="C45">IFERROR(_xlfn.TEXTJOIN("  ·  ",TRUE,IF((cr_in_amt&gt;0)*((cr_in_date&gt;0)*(cr_in_date&lt;=$B45)*(((cr_in_rep="Once")+(cr_in_rep=""))*(cr_in_date=$B45)+(cr_in_rep="Every day")+(cr_in_rep="Weekly")*(MOD($B45-cr_in_date,7)=0)+(cr_in_rep="Every 2 weeks")*(MOD($B45-cr_in_date,14)=0)+(cr_in_rep="Monthly")*(((DAY(cr_in_date)=DAY($B45))+(DAY($B45)=DAY(EOMONTH($B45,0)))*(DAY(cr_in_date)&gt;DAY($B45)))&gt;0)+(cr_in_rep="Quarterly")*(((DAY(cr_in_date)=DAY($B45))+(DAY($B45)=DAY(EOMONTH($B45,0)))*(DAY(cr_in_date)&gt;DAY($B45)))&gt;0)*(MOD((YEAR($B45)-YEAR(cr_in_date))*12+MONTH($B45)-MONTH(cr_in_date),3)=0)))&gt;0,"+ "&amp;cr_in_name,""),IF((cr_out_amt&gt;0)*((cr_out_date&gt;0)*(cr_out_date&lt;=$B45)*(((cr_out_rep="Once")+(cr_out_rep=""))*(cr_out_date=$B45)+(cr_out_rep="Every day")+(cr_out_rep="Weekly")*(MOD($B45-cr_out_date,7)=0)+(cr_out_rep="Every 2 weeks")*(MOD($B45-cr_out_date,14)=0)+(cr_out_rep="Monthly")*(((DAY(cr_out_date)=DAY($B45))+(DAY($B45)=DAY(EOMONTH($B45,0)))*(DAY(cr_out_date)&gt;DAY($B45)))&gt;0)+(cr_out_rep="Quarterly")*(((DAY(cr_out_date)=DAY($B45))+(DAY($B45)=DAY(EOMONTH($B45,0)))*(DAY(cr_out_date)&gt;DAY($B45)))&gt;0)*(MOD((YEAR($B45)-YEAR(cr_out_date))*12+MONTH($B45)-MONTH(cr_out_date),3)=0)))&gt;0,cr_out_name,"")),"")</f>
        <v>Insurance renewal</v>
      </c>
      <c r="D45" s="43">
        <f>SUMPRODUCT(cr_in_amt*(cr_in_date&gt;0)*(cr_in_date&lt;=$B45)*(((cr_in_rep="Once")+(cr_in_rep=""))*(cr_in_date=$B45)+(cr_in_rep="Every day")+(cr_in_rep="Weekly")*(MOD($B45-cr_in_date,7)=0)+(cr_in_rep="Every 2 weeks")*(MOD($B45-cr_in_date,14)=0)+(cr_in_rep="Monthly")*(((DAY(cr_in_date)=DAY($B45))+(DAY($B45)=DAY(EOMONTH($B45,0)))*(DAY(cr_in_date)&gt;DAY($B45)))&gt;0)+(cr_in_rep="Quarterly")*(((DAY(cr_in_date)=DAY($B45))+(DAY($B45)=DAY(EOMONTH($B45,0)))*(DAY(cr_in_date)&gt;DAY($B45)))&gt;0)*(MOD((YEAR($B45)-YEAR(cr_in_date))*12+MONTH($B45)-MONTH(cr_in_date),3)=0)))</f>
        <v>0.0</v>
      </c>
      <c r="E45" s="43">
        <f>SUMPRODUCT(cr_out_amt*(cr_out_date&gt;0)*(cr_out_date&lt;=$B45)*(((cr_out_rep="Once")+(cr_out_rep=""))*(cr_out_date=$B45)+(cr_out_rep="Every day")+(cr_out_rep="Weekly")*(MOD($B45-cr_out_date,7)=0)+(cr_out_rep="Every 2 weeks")*(MOD($B45-cr_out_date,14)=0)+(cr_out_rep="Monthly")*(((DAY(cr_out_date)=DAY($B45))+(DAY($B45)=DAY(EOMONTH($B45,0)))*(DAY(cr_out_date)&gt;DAY($B45)))&gt;0)+(cr_out_rep="Quarterly")*(((DAY(cr_out_date)=DAY($B45))+(DAY($B45)=DAY(EOMONTH($B45,0)))*(DAY(cr_out_date)&gt;DAY($B45)))&gt;0)*(MOD((YEAR($B45)-YEAR(cr_out_date))*12+MONTH($B45)-MONTH(cr_out_date),3)=0)))</f>
        <v>2900.0</v>
      </c>
      <c r="F45" s="44">
        <f>F44+D45-E45</f>
        <v>6570.0</v>
      </c>
      <c r="G45" s="45">
        <f>F45-cr_floor</f>
        <v>1570.0</v>
      </c>
      <c r="H45" s="46">
        <f>F45-cr_big_amt*($B45&gt;=cr_big_date)*($B45&lt;cr_big_date+cr_late)</f>
        <v>6570.0</v>
      </c>
    </row>
    <row r="46" spans="2:8" s="1" customFormat="1">
      <c r="B46" s="41">
        <f>B45+1</f>
        <v>46367.0</v>
      </c>
      <c r="C46" s="42" t="str">
        <f t="array" ref="C46">IFERROR(_xlfn.TEXTJOIN("  ·  ",TRUE,IF((cr_in_amt&gt;0)*((cr_in_date&gt;0)*(cr_in_date&lt;=$B46)*(((cr_in_rep="Once")+(cr_in_rep=""))*(cr_in_date=$B46)+(cr_in_rep="Every day")+(cr_in_rep="Weekly")*(MOD($B46-cr_in_date,7)=0)+(cr_in_rep="Every 2 weeks")*(MOD($B46-cr_in_date,14)=0)+(cr_in_rep="Monthly")*(((DAY(cr_in_date)=DAY($B46))+(DAY($B46)=DAY(EOMONTH($B46,0)))*(DAY(cr_in_date)&gt;DAY($B46)))&gt;0)+(cr_in_rep="Quarterly")*(((DAY(cr_in_date)=DAY($B46))+(DAY($B46)=DAY(EOMONTH($B46,0)))*(DAY(cr_in_date)&gt;DAY($B46)))&gt;0)*(MOD((YEAR($B46)-YEAR(cr_in_date))*12+MONTH($B46)-MONTH(cr_in_date),3)=0)))&gt;0,"+ "&amp;cr_in_name,""),IF((cr_out_amt&gt;0)*((cr_out_date&gt;0)*(cr_out_date&lt;=$B46)*(((cr_out_rep="Once")+(cr_out_rep=""))*(cr_out_date=$B46)+(cr_out_rep="Every day")+(cr_out_rep="Weekly")*(MOD($B46-cr_out_date,7)=0)+(cr_out_rep="Every 2 weeks")*(MOD($B46-cr_out_date,14)=0)+(cr_out_rep="Monthly")*(((DAY(cr_out_date)=DAY($B46))+(DAY($B46)=DAY(EOMONTH($B46,0)))*(DAY(cr_out_date)&gt;DAY($B46)))&gt;0)+(cr_out_rep="Quarterly")*(((DAY(cr_out_date)=DAY($B46))+(DAY($B46)=DAY(EOMONTH($B46,0)))*(DAY(cr_out_date)&gt;DAY($B46)))&gt;0)*(MOD((YEAR($B46)-YEAR(cr_out_date))*12+MONTH($B46)-MONTH(cr_out_date),3)=0)))&gt;0,cr_out_name,"")),"")</f>
        <v>+ Shop takings (typical week)</v>
      </c>
      <c r="D46" s="43">
        <f>SUMPRODUCT(cr_in_amt*(cr_in_date&gt;0)*(cr_in_date&lt;=$B46)*(((cr_in_rep="Once")+(cr_in_rep=""))*(cr_in_date=$B46)+(cr_in_rep="Every day")+(cr_in_rep="Weekly")*(MOD($B46-cr_in_date,7)=0)+(cr_in_rep="Every 2 weeks")*(MOD($B46-cr_in_date,14)=0)+(cr_in_rep="Monthly")*(((DAY(cr_in_date)=DAY($B46))+(DAY($B46)=DAY(EOMONTH($B46,0)))*(DAY(cr_in_date)&gt;DAY($B46)))&gt;0)+(cr_in_rep="Quarterly")*(((DAY(cr_in_date)=DAY($B46))+(DAY($B46)=DAY(EOMONTH($B46,0)))*(DAY(cr_in_date)&gt;DAY($B46)))&gt;0)*(MOD((YEAR($B46)-YEAR(cr_in_date))*12+MONTH($B46)-MONTH(cr_in_date),3)=0)))</f>
        <v>2600.0</v>
      </c>
      <c r="E46" s="43">
        <f>SUMPRODUCT(cr_out_amt*(cr_out_date&gt;0)*(cr_out_date&lt;=$B46)*(((cr_out_rep="Once")+(cr_out_rep=""))*(cr_out_date=$B46)+(cr_out_rep="Every day")+(cr_out_rep="Weekly")*(MOD($B46-cr_out_date,7)=0)+(cr_out_rep="Every 2 weeks")*(MOD($B46-cr_out_date,14)=0)+(cr_out_rep="Monthly")*(((DAY(cr_out_date)=DAY($B46))+(DAY($B46)=DAY(EOMONTH($B46,0)))*(DAY(cr_out_date)&gt;DAY($B46)))&gt;0)+(cr_out_rep="Quarterly")*(((DAY(cr_out_date)=DAY($B46))+(DAY($B46)=DAY(EOMONTH($B46,0)))*(DAY(cr_out_date)&gt;DAY($B46)))&gt;0)*(MOD((YEAR($B46)-YEAR(cr_out_date))*12+MONTH($B46)-MONTH(cr_out_date),3)=0)))</f>
        <v>0.0</v>
      </c>
      <c r="F46" s="44">
        <f>F45+D46-E46</f>
        <v>9170.0</v>
      </c>
      <c r="G46" s="45">
        <f>F46-cr_floor</f>
        <v>4170.0</v>
      </c>
      <c r="H46" s="46">
        <f>F46-cr_big_amt*($B46&gt;=cr_big_date)*($B46&lt;cr_big_date+cr_late)</f>
        <v>9170.0</v>
      </c>
    </row>
    <row r="47" spans="2:8" s="1" customFormat="1">
      <c r="B47" s="41">
        <f>B46+1</f>
        <v>46368.0</v>
      </c>
      <c r="C47" s="42" t="str">
        <f t="array" ref="C47">IFERROR(_xlfn.TEXTJOIN("  ·  ",TRUE,IF((cr_in_amt&gt;0)*((cr_in_date&gt;0)*(cr_in_date&lt;=$B47)*(((cr_in_rep="Once")+(cr_in_rep=""))*(cr_in_date=$B47)+(cr_in_rep="Every day")+(cr_in_rep="Weekly")*(MOD($B47-cr_in_date,7)=0)+(cr_in_rep="Every 2 weeks")*(MOD($B47-cr_in_date,14)=0)+(cr_in_rep="Monthly")*(((DAY(cr_in_date)=DAY($B47))+(DAY($B47)=DAY(EOMONTH($B47,0)))*(DAY(cr_in_date)&gt;DAY($B47)))&gt;0)+(cr_in_rep="Quarterly")*(((DAY(cr_in_date)=DAY($B47))+(DAY($B47)=DAY(EOMONTH($B47,0)))*(DAY(cr_in_date)&gt;DAY($B47)))&gt;0)*(MOD((YEAR($B47)-YEAR(cr_in_date))*12+MONTH($B47)-MONTH(cr_in_date),3)=0)))&gt;0,"+ "&amp;cr_in_name,""),IF((cr_out_amt&gt;0)*((cr_out_date&gt;0)*(cr_out_date&lt;=$B47)*(((cr_out_rep="Once")+(cr_out_rep=""))*(cr_out_date=$B47)+(cr_out_rep="Every day")+(cr_out_rep="Weekly")*(MOD($B47-cr_out_date,7)=0)+(cr_out_rep="Every 2 weeks")*(MOD($B47-cr_out_date,14)=0)+(cr_out_rep="Monthly")*(((DAY(cr_out_date)=DAY($B47))+(DAY($B47)=DAY(EOMONTH($B47,0)))*(DAY(cr_out_date)&gt;DAY($B47)))&gt;0)+(cr_out_rep="Quarterly")*(((DAY(cr_out_date)=DAY($B47))+(DAY($B47)=DAY(EOMONTH($B47,0)))*(DAY(cr_out_date)&gt;DAY($B47)))&gt;0)*(MOD((YEAR($B47)-YEAR(cr_out_date))*12+MONTH($B47)-MONTH(cr_out_date),3)=0)))&gt;0,cr_out_name,"")),"")</f>
        <v/>
      </c>
      <c r="D47" s="43">
        <f>SUMPRODUCT(cr_in_amt*(cr_in_date&gt;0)*(cr_in_date&lt;=$B47)*(((cr_in_rep="Once")+(cr_in_rep=""))*(cr_in_date=$B47)+(cr_in_rep="Every day")+(cr_in_rep="Weekly")*(MOD($B47-cr_in_date,7)=0)+(cr_in_rep="Every 2 weeks")*(MOD($B47-cr_in_date,14)=0)+(cr_in_rep="Monthly")*(((DAY(cr_in_date)=DAY($B47))+(DAY($B47)=DAY(EOMONTH($B47,0)))*(DAY(cr_in_date)&gt;DAY($B47)))&gt;0)+(cr_in_rep="Quarterly")*(((DAY(cr_in_date)=DAY($B47))+(DAY($B47)=DAY(EOMONTH($B47,0)))*(DAY(cr_in_date)&gt;DAY($B47)))&gt;0)*(MOD((YEAR($B47)-YEAR(cr_in_date))*12+MONTH($B47)-MONTH(cr_in_date),3)=0)))</f>
        <v>0.0</v>
      </c>
      <c r="E47" s="43">
        <f>SUMPRODUCT(cr_out_amt*(cr_out_date&gt;0)*(cr_out_date&lt;=$B47)*(((cr_out_rep="Once")+(cr_out_rep=""))*(cr_out_date=$B47)+(cr_out_rep="Every day")+(cr_out_rep="Weekly")*(MOD($B47-cr_out_date,7)=0)+(cr_out_rep="Every 2 weeks")*(MOD($B47-cr_out_date,14)=0)+(cr_out_rep="Monthly")*(((DAY(cr_out_date)=DAY($B47))+(DAY($B47)=DAY(EOMONTH($B47,0)))*(DAY(cr_out_date)&gt;DAY($B47)))&gt;0)+(cr_out_rep="Quarterly")*(((DAY(cr_out_date)=DAY($B47))+(DAY($B47)=DAY(EOMONTH($B47,0)))*(DAY(cr_out_date)&gt;DAY($B47)))&gt;0)*(MOD((YEAR($B47)-YEAR(cr_out_date))*12+MONTH($B47)-MONTH(cr_out_date),3)=0)))</f>
        <v>0.0</v>
      </c>
      <c r="F47" s="44">
        <f>F46+D47-E47</f>
        <v>9170.0</v>
      </c>
      <c r="G47" s="45">
        <f>F47-cr_floor</f>
        <v>4170.0</v>
      </c>
      <c r="H47" s="46">
        <f>F47-cr_big_amt*($B47&gt;=cr_big_date)*($B47&lt;cr_big_date+cr_late)</f>
        <v>9170.0</v>
      </c>
    </row>
    <row r="48" spans="2:8" s="1" customFormat="1">
      <c r="B48" s="47">
        <f>B47+1</f>
        <v>46369.0</v>
      </c>
      <c r="C48" s="48" t="str">
        <f t="array" ref="C48">IFERROR(_xlfn.TEXTJOIN("  ·  ",TRUE,IF((cr_in_amt&gt;0)*((cr_in_date&gt;0)*(cr_in_date&lt;=$B48)*(((cr_in_rep="Once")+(cr_in_rep=""))*(cr_in_date=$B48)+(cr_in_rep="Every day")+(cr_in_rep="Weekly")*(MOD($B48-cr_in_date,7)=0)+(cr_in_rep="Every 2 weeks")*(MOD($B48-cr_in_date,14)=0)+(cr_in_rep="Monthly")*(((DAY(cr_in_date)=DAY($B48))+(DAY($B48)=DAY(EOMONTH($B48,0)))*(DAY(cr_in_date)&gt;DAY($B48)))&gt;0)+(cr_in_rep="Quarterly")*(((DAY(cr_in_date)=DAY($B48))+(DAY($B48)=DAY(EOMONTH($B48,0)))*(DAY(cr_in_date)&gt;DAY($B48)))&gt;0)*(MOD((YEAR($B48)-YEAR(cr_in_date))*12+MONTH($B48)-MONTH(cr_in_date),3)=0)))&gt;0,"+ "&amp;cr_in_name,""),IF((cr_out_amt&gt;0)*((cr_out_date&gt;0)*(cr_out_date&lt;=$B48)*(((cr_out_rep="Once")+(cr_out_rep=""))*(cr_out_date=$B48)+(cr_out_rep="Every day")+(cr_out_rep="Weekly")*(MOD($B48-cr_out_date,7)=0)+(cr_out_rep="Every 2 weeks")*(MOD($B48-cr_out_date,14)=0)+(cr_out_rep="Monthly")*(((DAY(cr_out_date)=DAY($B48))+(DAY($B48)=DAY(EOMONTH($B48,0)))*(DAY(cr_out_date)&gt;DAY($B48)))&gt;0)+(cr_out_rep="Quarterly")*(((DAY(cr_out_date)=DAY($B48))+(DAY($B48)=DAY(EOMONTH($B48,0)))*(DAY(cr_out_date)&gt;DAY($B48)))&gt;0)*(MOD((YEAR($B48)-YEAR(cr_out_date))*12+MONTH($B48)-MONTH(cr_out_date),3)=0)))&gt;0,cr_out_name,"")),"")</f>
        <v/>
      </c>
      <c r="D48" s="49">
        <f>SUMPRODUCT(cr_in_amt*(cr_in_date&gt;0)*(cr_in_date&lt;=$B48)*(((cr_in_rep="Once")+(cr_in_rep=""))*(cr_in_date=$B48)+(cr_in_rep="Every day")+(cr_in_rep="Weekly")*(MOD($B48-cr_in_date,7)=0)+(cr_in_rep="Every 2 weeks")*(MOD($B48-cr_in_date,14)=0)+(cr_in_rep="Monthly")*(((DAY(cr_in_date)=DAY($B48))+(DAY($B48)=DAY(EOMONTH($B48,0)))*(DAY(cr_in_date)&gt;DAY($B48)))&gt;0)+(cr_in_rep="Quarterly")*(((DAY(cr_in_date)=DAY($B48))+(DAY($B48)=DAY(EOMONTH($B48,0)))*(DAY(cr_in_date)&gt;DAY($B48)))&gt;0)*(MOD((YEAR($B48)-YEAR(cr_in_date))*12+MONTH($B48)-MONTH(cr_in_date),3)=0)))</f>
        <v>0.0</v>
      </c>
      <c r="E48" s="49">
        <f>SUMPRODUCT(cr_out_amt*(cr_out_date&gt;0)*(cr_out_date&lt;=$B48)*(((cr_out_rep="Once")+(cr_out_rep=""))*(cr_out_date=$B48)+(cr_out_rep="Every day")+(cr_out_rep="Weekly")*(MOD($B48-cr_out_date,7)=0)+(cr_out_rep="Every 2 weeks")*(MOD($B48-cr_out_date,14)=0)+(cr_out_rep="Monthly")*(((DAY(cr_out_date)=DAY($B48))+(DAY($B48)=DAY(EOMONTH($B48,0)))*(DAY(cr_out_date)&gt;DAY($B48)))&gt;0)+(cr_out_rep="Quarterly")*(((DAY(cr_out_date)=DAY($B48))+(DAY($B48)=DAY(EOMONTH($B48,0)))*(DAY(cr_out_date)&gt;DAY($B48)))&gt;0)*(MOD((YEAR($B48)-YEAR(cr_out_date))*12+MONTH($B48)-MONTH(cr_out_date),3)=0)))</f>
        <v>0.0</v>
      </c>
      <c r="F48" s="38">
        <f>F47+D48-E48</f>
        <v>9170.0</v>
      </c>
      <c r="G48" s="39">
        <f>F48-cr_floor</f>
        <v>4170.0</v>
      </c>
      <c r="H48" s="40">
        <f>F48-cr_big_amt*($B48&gt;=cr_big_date)*($B48&lt;cr_big_date+cr_late)</f>
        <v>9170.0</v>
      </c>
    </row>
    <row r="49" spans="2:8" s="1" customFormat="1">
      <c r="B49" s="41">
        <f>B48+1</f>
        <v>46370.0</v>
      </c>
      <c r="C49" s="42" t="str">
        <f t="array" ref="C49">IFERROR(_xlfn.TEXTJOIN("  ·  ",TRUE,IF((cr_in_amt&gt;0)*((cr_in_date&gt;0)*(cr_in_date&lt;=$B49)*(((cr_in_rep="Once")+(cr_in_rep=""))*(cr_in_date=$B49)+(cr_in_rep="Every day")+(cr_in_rep="Weekly")*(MOD($B49-cr_in_date,7)=0)+(cr_in_rep="Every 2 weeks")*(MOD($B49-cr_in_date,14)=0)+(cr_in_rep="Monthly")*(((DAY(cr_in_date)=DAY($B49))+(DAY($B49)=DAY(EOMONTH($B49,0)))*(DAY(cr_in_date)&gt;DAY($B49)))&gt;0)+(cr_in_rep="Quarterly")*(((DAY(cr_in_date)=DAY($B49))+(DAY($B49)=DAY(EOMONTH($B49,0)))*(DAY(cr_in_date)&gt;DAY($B49)))&gt;0)*(MOD((YEAR($B49)-YEAR(cr_in_date))*12+MONTH($B49)-MONTH(cr_in_date),3)=0)))&gt;0,"+ "&amp;cr_in_name,""),IF((cr_out_amt&gt;0)*((cr_out_date&gt;0)*(cr_out_date&lt;=$B49)*(((cr_out_rep="Once")+(cr_out_rep=""))*(cr_out_date=$B49)+(cr_out_rep="Every day")+(cr_out_rep="Weekly")*(MOD($B49-cr_out_date,7)=0)+(cr_out_rep="Every 2 weeks")*(MOD($B49-cr_out_date,14)=0)+(cr_out_rep="Monthly")*(((DAY(cr_out_date)=DAY($B49))+(DAY($B49)=DAY(EOMONTH($B49,0)))*(DAY(cr_out_date)&gt;DAY($B49)))&gt;0)+(cr_out_rep="Quarterly")*(((DAY(cr_out_date)=DAY($B49))+(DAY($B49)=DAY(EOMONTH($B49,0)))*(DAY(cr_out_date)&gt;DAY($B49)))&gt;0)*(MOD((YEAR($B49)-YEAR(cr_out_date))*12+MONTH($B49)-MONTH(cr_out_date),3)=0)))&gt;0,cr_out_name,"")),"")</f>
        <v>+ Gallery show deposit</v>
      </c>
      <c r="D49" s="43">
        <f>SUMPRODUCT(cr_in_amt*(cr_in_date&gt;0)*(cr_in_date&lt;=$B49)*(((cr_in_rep="Once")+(cr_in_rep=""))*(cr_in_date=$B49)+(cr_in_rep="Every day")+(cr_in_rep="Weekly")*(MOD($B49-cr_in_date,7)=0)+(cr_in_rep="Every 2 weeks")*(MOD($B49-cr_in_date,14)=0)+(cr_in_rep="Monthly")*(((DAY(cr_in_date)=DAY($B49))+(DAY($B49)=DAY(EOMONTH($B49,0)))*(DAY(cr_in_date)&gt;DAY($B49)))&gt;0)+(cr_in_rep="Quarterly")*(((DAY(cr_in_date)=DAY($B49))+(DAY($B49)=DAY(EOMONTH($B49,0)))*(DAY(cr_in_date)&gt;DAY($B49)))&gt;0)*(MOD((YEAR($B49)-YEAR(cr_in_date))*12+MONTH($B49)-MONTH(cr_in_date),3)=0)))</f>
        <v>3500.0</v>
      </c>
      <c r="E49" s="43">
        <f>SUMPRODUCT(cr_out_amt*(cr_out_date&gt;0)*(cr_out_date&lt;=$B49)*(((cr_out_rep="Once")+(cr_out_rep=""))*(cr_out_date=$B49)+(cr_out_rep="Every day")+(cr_out_rep="Weekly")*(MOD($B49-cr_out_date,7)=0)+(cr_out_rep="Every 2 weeks")*(MOD($B49-cr_out_date,14)=0)+(cr_out_rep="Monthly")*(((DAY(cr_out_date)=DAY($B49))+(DAY($B49)=DAY(EOMONTH($B49,0)))*(DAY(cr_out_date)&gt;DAY($B49)))&gt;0)+(cr_out_rep="Quarterly")*(((DAY(cr_out_date)=DAY($B49))+(DAY($B49)=DAY(EOMONTH($B49,0)))*(DAY(cr_out_date)&gt;DAY($B49)))&gt;0)*(MOD((YEAR($B49)-YEAR(cr_out_date))*12+MONTH($B49)-MONTH(cr_out_date),3)=0)))</f>
        <v>0.0</v>
      </c>
      <c r="F49" s="44">
        <f>F48+D49-E49</f>
        <v>12670.0</v>
      </c>
      <c r="G49" s="45">
        <f>F49-cr_floor</f>
        <v>7670.0</v>
      </c>
      <c r="H49" s="46">
        <f>F49-cr_big_amt*($B49&gt;=cr_big_date)*($B49&lt;cr_big_date+cr_late)</f>
        <v>12670.0</v>
      </c>
    </row>
    <row r="50" spans="2:8" s="1" customFormat="1">
      <c r="B50" s="41">
        <f>B49+1</f>
        <v>46371.0</v>
      </c>
      <c r="C50" s="42" t="str">
        <f t="array" ref="C50">IFERROR(_xlfn.TEXTJOIN("  ·  ",TRUE,IF((cr_in_amt&gt;0)*((cr_in_date&gt;0)*(cr_in_date&lt;=$B50)*(((cr_in_rep="Once")+(cr_in_rep=""))*(cr_in_date=$B50)+(cr_in_rep="Every day")+(cr_in_rep="Weekly")*(MOD($B50-cr_in_date,7)=0)+(cr_in_rep="Every 2 weeks")*(MOD($B50-cr_in_date,14)=0)+(cr_in_rep="Monthly")*(((DAY(cr_in_date)=DAY($B50))+(DAY($B50)=DAY(EOMONTH($B50,0)))*(DAY(cr_in_date)&gt;DAY($B50)))&gt;0)+(cr_in_rep="Quarterly")*(((DAY(cr_in_date)=DAY($B50))+(DAY($B50)=DAY(EOMONTH($B50,0)))*(DAY(cr_in_date)&gt;DAY($B50)))&gt;0)*(MOD((YEAR($B50)-YEAR(cr_in_date))*12+MONTH($B50)-MONTH(cr_in_date),3)=0)))&gt;0,"+ "&amp;cr_in_name,""),IF((cr_out_amt&gt;0)*((cr_out_date&gt;0)*(cr_out_date&lt;=$B50)*(((cr_out_rep="Once")+(cr_out_rep=""))*(cr_out_date=$B50)+(cr_out_rep="Every day")+(cr_out_rep="Weekly")*(MOD($B50-cr_out_date,7)=0)+(cr_out_rep="Every 2 weeks")*(MOD($B50-cr_out_date,14)=0)+(cr_out_rep="Monthly")*(((DAY(cr_out_date)=DAY($B50))+(DAY($B50)=DAY(EOMONTH($B50,0)))*(DAY(cr_out_date)&gt;DAY($B50)))&gt;0)+(cr_out_rep="Quarterly")*(((DAY(cr_out_date)=DAY($B50))+(DAY($B50)=DAY(EOMONTH($B50,0)))*(DAY(cr_out_date)&gt;DAY($B50)))&gt;0)*(MOD((YEAR($B50)-YEAR(cr_out_date))*12+MONTH($B50)-MONTH(cr_out_date),3)=0)))&gt;0,cr_out_name,"")),"")</f>
        <v>Glass supplier</v>
      </c>
      <c r="D50" s="43">
        <f>SUMPRODUCT(cr_in_amt*(cr_in_date&gt;0)*(cr_in_date&lt;=$B50)*(((cr_in_rep="Once")+(cr_in_rep=""))*(cr_in_date=$B50)+(cr_in_rep="Every day")+(cr_in_rep="Weekly")*(MOD($B50-cr_in_date,7)=0)+(cr_in_rep="Every 2 weeks")*(MOD($B50-cr_in_date,14)=0)+(cr_in_rep="Monthly")*(((DAY(cr_in_date)=DAY($B50))+(DAY($B50)=DAY(EOMONTH($B50,0)))*(DAY(cr_in_date)&gt;DAY($B50)))&gt;0)+(cr_in_rep="Quarterly")*(((DAY(cr_in_date)=DAY($B50))+(DAY($B50)=DAY(EOMONTH($B50,0)))*(DAY(cr_in_date)&gt;DAY($B50)))&gt;0)*(MOD((YEAR($B50)-YEAR(cr_in_date))*12+MONTH($B50)-MONTH(cr_in_date),3)=0)))</f>
        <v>0.0</v>
      </c>
      <c r="E50" s="43">
        <f>SUMPRODUCT(cr_out_amt*(cr_out_date&gt;0)*(cr_out_date&lt;=$B50)*(((cr_out_rep="Once")+(cr_out_rep=""))*(cr_out_date=$B50)+(cr_out_rep="Every day")+(cr_out_rep="Weekly")*(MOD($B50-cr_out_date,7)=0)+(cr_out_rep="Every 2 weeks")*(MOD($B50-cr_out_date,14)=0)+(cr_out_rep="Monthly")*(((DAY(cr_out_date)=DAY($B50))+(DAY($B50)=DAY(EOMONTH($B50,0)))*(DAY(cr_out_date)&gt;DAY($B50)))&gt;0)+(cr_out_rep="Quarterly")*(((DAY(cr_out_date)=DAY($B50))+(DAY($B50)=DAY(EOMONTH($B50,0)))*(DAY(cr_out_date)&gt;DAY($B50)))&gt;0)*(MOD((YEAR($B50)-YEAR(cr_out_date))*12+MONTH($B50)-MONTH(cr_out_date),3)=0)))</f>
        <v>1850.0</v>
      </c>
      <c r="F50" s="44">
        <f>F49+D50-E50</f>
        <v>10820.0</v>
      </c>
      <c r="G50" s="45">
        <f>F50-cr_floor</f>
        <v>5820.0</v>
      </c>
      <c r="H50" s="46">
        <f>F50-cr_big_amt*($B50&gt;=cr_big_date)*($B50&lt;cr_big_date+cr_late)</f>
        <v>10820.0</v>
      </c>
    </row>
    <row r="51" spans="2:8" s="1" customFormat="1">
      <c r="B51" s="41">
        <f>B50+1</f>
        <v>46372.0</v>
      </c>
      <c r="C51" s="42" t="str">
        <f t="array" ref="C51">IFERROR(_xlfn.TEXTJOIN("  ·  ",TRUE,IF((cr_in_amt&gt;0)*((cr_in_date&gt;0)*(cr_in_date&lt;=$B51)*(((cr_in_rep="Once")+(cr_in_rep=""))*(cr_in_date=$B51)+(cr_in_rep="Every day")+(cr_in_rep="Weekly")*(MOD($B51-cr_in_date,7)=0)+(cr_in_rep="Every 2 weeks")*(MOD($B51-cr_in_date,14)=0)+(cr_in_rep="Monthly")*(((DAY(cr_in_date)=DAY($B51))+(DAY($B51)=DAY(EOMONTH($B51,0)))*(DAY(cr_in_date)&gt;DAY($B51)))&gt;0)+(cr_in_rep="Quarterly")*(((DAY(cr_in_date)=DAY($B51))+(DAY($B51)=DAY(EOMONTH($B51,0)))*(DAY(cr_in_date)&gt;DAY($B51)))&gt;0)*(MOD((YEAR($B51)-YEAR(cr_in_date))*12+MONTH($B51)-MONTH(cr_in_date),3)=0)))&gt;0,"+ "&amp;cr_in_name,""),IF((cr_out_amt&gt;0)*((cr_out_date&gt;0)*(cr_out_date&lt;=$B51)*(((cr_out_rep="Once")+(cr_out_rep=""))*(cr_out_date=$B51)+(cr_out_rep="Every day")+(cr_out_rep="Weekly")*(MOD($B51-cr_out_date,7)=0)+(cr_out_rep="Every 2 weeks")*(MOD($B51-cr_out_date,14)=0)+(cr_out_rep="Monthly")*(((DAY(cr_out_date)=DAY($B51))+(DAY($B51)=DAY(EOMONTH($B51,0)))*(DAY(cr_out_date)&gt;DAY($B51)))&gt;0)+(cr_out_rep="Quarterly")*(((DAY(cr_out_date)=DAY($B51))+(DAY($B51)=DAY(EOMONTH($B51,0)))*(DAY(cr_out_date)&gt;DAY($B51)))&gt;0)*(MOD((YEAR($B51)-YEAR(cr_out_date))*12+MONTH($B51)-MONTH(cr_out_date),3)=0)))&gt;0,cr_out_name,"")),"")</f>
        <v/>
      </c>
      <c r="D51" s="43">
        <f>SUMPRODUCT(cr_in_amt*(cr_in_date&gt;0)*(cr_in_date&lt;=$B51)*(((cr_in_rep="Once")+(cr_in_rep=""))*(cr_in_date=$B51)+(cr_in_rep="Every day")+(cr_in_rep="Weekly")*(MOD($B51-cr_in_date,7)=0)+(cr_in_rep="Every 2 weeks")*(MOD($B51-cr_in_date,14)=0)+(cr_in_rep="Monthly")*(((DAY(cr_in_date)=DAY($B51))+(DAY($B51)=DAY(EOMONTH($B51,0)))*(DAY(cr_in_date)&gt;DAY($B51)))&gt;0)+(cr_in_rep="Quarterly")*(((DAY(cr_in_date)=DAY($B51))+(DAY($B51)=DAY(EOMONTH($B51,0)))*(DAY(cr_in_date)&gt;DAY($B51)))&gt;0)*(MOD((YEAR($B51)-YEAR(cr_in_date))*12+MONTH($B51)-MONTH(cr_in_date),3)=0)))</f>
        <v>0.0</v>
      </c>
      <c r="E51" s="43">
        <f>SUMPRODUCT(cr_out_amt*(cr_out_date&gt;0)*(cr_out_date&lt;=$B51)*(((cr_out_rep="Once")+(cr_out_rep=""))*(cr_out_date=$B51)+(cr_out_rep="Every day")+(cr_out_rep="Weekly")*(MOD($B51-cr_out_date,7)=0)+(cr_out_rep="Every 2 weeks")*(MOD($B51-cr_out_date,14)=0)+(cr_out_rep="Monthly")*(((DAY(cr_out_date)=DAY($B51))+(DAY($B51)=DAY(EOMONTH($B51,0)))*(DAY(cr_out_date)&gt;DAY($B51)))&gt;0)+(cr_out_rep="Quarterly")*(((DAY(cr_out_date)=DAY($B51))+(DAY($B51)=DAY(EOMONTH($B51,0)))*(DAY(cr_out_date)&gt;DAY($B51)))&gt;0)*(MOD((YEAR($B51)-YEAR(cr_out_date))*12+MONTH($B51)-MONTH(cr_out_date),3)=0)))</f>
        <v>0.0</v>
      </c>
      <c r="F51" s="44">
        <f>F50+D51-E51</f>
        <v>10820.0</v>
      </c>
      <c r="G51" s="45">
        <f>F51-cr_floor</f>
        <v>5820.0</v>
      </c>
      <c r="H51" s="46">
        <f>F51-cr_big_amt*($B51&gt;=cr_big_date)*($B51&lt;cr_big_date+cr_late)</f>
        <v>10820.0</v>
      </c>
    </row>
    <row r="52" spans="2:8" s="1" customFormat="1">
      <c r="B52" s="41">
        <f>B51+1</f>
        <v>46373.0</v>
      </c>
      <c r="C52" s="42" t="str">
        <f t="array" ref="C52">IFERROR(_xlfn.TEXTJOIN("  ·  ",TRUE,IF((cr_in_amt&gt;0)*((cr_in_date&gt;0)*(cr_in_date&lt;=$B52)*(((cr_in_rep="Once")+(cr_in_rep=""))*(cr_in_date=$B52)+(cr_in_rep="Every day")+(cr_in_rep="Weekly")*(MOD($B52-cr_in_date,7)=0)+(cr_in_rep="Every 2 weeks")*(MOD($B52-cr_in_date,14)=0)+(cr_in_rep="Monthly")*(((DAY(cr_in_date)=DAY($B52))+(DAY($B52)=DAY(EOMONTH($B52,0)))*(DAY(cr_in_date)&gt;DAY($B52)))&gt;0)+(cr_in_rep="Quarterly")*(((DAY(cr_in_date)=DAY($B52))+(DAY($B52)=DAY(EOMONTH($B52,0)))*(DAY(cr_in_date)&gt;DAY($B52)))&gt;0)*(MOD((YEAR($B52)-YEAR(cr_in_date))*12+MONTH($B52)-MONTH(cr_in_date),3)=0)))&gt;0,"+ "&amp;cr_in_name,""),IF((cr_out_amt&gt;0)*((cr_out_date&gt;0)*(cr_out_date&lt;=$B52)*(((cr_out_rep="Once")+(cr_out_rep=""))*(cr_out_date=$B52)+(cr_out_rep="Every day")+(cr_out_rep="Weekly")*(MOD($B52-cr_out_date,7)=0)+(cr_out_rep="Every 2 weeks")*(MOD($B52-cr_out_date,14)=0)+(cr_out_rep="Monthly")*(((DAY(cr_out_date)=DAY($B52))+(DAY($B52)=DAY(EOMONTH($B52,0)))*(DAY(cr_out_date)&gt;DAY($B52)))&gt;0)+(cr_out_rep="Quarterly")*(((DAY(cr_out_date)=DAY($B52))+(DAY($B52)=DAY(EOMONTH($B52,0)))*(DAY(cr_out_date)&gt;DAY($B52)))&gt;0)*(MOD((YEAR($B52)-YEAR(cr_out_date))*12+MONTH($B52)-MONTH(cr_out_date),3)=0)))&gt;0,cr_out_name,"")),"")</f>
        <v/>
      </c>
      <c r="D52" s="43">
        <f>SUMPRODUCT(cr_in_amt*(cr_in_date&gt;0)*(cr_in_date&lt;=$B52)*(((cr_in_rep="Once")+(cr_in_rep=""))*(cr_in_date=$B52)+(cr_in_rep="Every day")+(cr_in_rep="Weekly")*(MOD($B52-cr_in_date,7)=0)+(cr_in_rep="Every 2 weeks")*(MOD($B52-cr_in_date,14)=0)+(cr_in_rep="Monthly")*(((DAY(cr_in_date)=DAY($B52))+(DAY($B52)=DAY(EOMONTH($B52,0)))*(DAY(cr_in_date)&gt;DAY($B52)))&gt;0)+(cr_in_rep="Quarterly")*(((DAY(cr_in_date)=DAY($B52))+(DAY($B52)=DAY(EOMONTH($B52,0)))*(DAY(cr_in_date)&gt;DAY($B52)))&gt;0)*(MOD((YEAR($B52)-YEAR(cr_in_date))*12+MONTH($B52)-MONTH(cr_in_date),3)=0)))</f>
        <v>0.0</v>
      </c>
      <c r="E52" s="43">
        <f>SUMPRODUCT(cr_out_amt*(cr_out_date&gt;0)*(cr_out_date&lt;=$B52)*(((cr_out_rep="Once")+(cr_out_rep=""))*(cr_out_date=$B52)+(cr_out_rep="Every day")+(cr_out_rep="Weekly")*(MOD($B52-cr_out_date,7)=0)+(cr_out_rep="Every 2 weeks")*(MOD($B52-cr_out_date,14)=0)+(cr_out_rep="Monthly")*(((DAY(cr_out_date)=DAY($B52))+(DAY($B52)=DAY(EOMONTH($B52,0)))*(DAY(cr_out_date)&gt;DAY($B52)))&gt;0)+(cr_out_rep="Quarterly")*(((DAY(cr_out_date)=DAY($B52))+(DAY($B52)=DAY(EOMONTH($B52,0)))*(DAY(cr_out_date)&gt;DAY($B52)))&gt;0)*(MOD((YEAR($B52)-YEAR(cr_out_date))*12+MONTH($B52)-MONTH(cr_out_date),3)=0)))</f>
        <v>0.0</v>
      </c>
      <c r="F52" s="44">
        <f>F51+D52-E52</f>
        <v>10820.0</v>
      </c>
      <c r="G52" s="45">
        <f>F52-cr_floor</f>
        <v>5820.0</v>
      </c>
      <c r="H52" s="46">
        <f>F52-cr_big_amt*($B52&gt;=cr_big_date)*($B52&lt;cr_big_date+cr_late)</f>
        <v>10820.0</v>
      </c>
    </row>
    <row r="53" spans="2:8" s="1" customFormat="1">
      <c r="B53" s="41">
        <f>B52+1</f>
        <v>46374.0</v>
      </c>
      <c r="C53" s="42" t="str">
        <f t="array" ref="C53">IFERROR(_xlfn.TEXTJOIN("  ·  ",TRUE,IF((cr_in_amt&gt;0)*((cr_in_date&gt;0)*(cr_in_date&lt;=$B53)*(((cr_in_rep="Once")+(cr_in_rep=""))*(cr_in_date=$B53)+(cr_in_rep="Every day")+(cr_in_rep="Weekly")*(MOD($B53-cr_in_date,7)=0)+(cr_in_rep="Every 2 weeks")*(MOD($B53-cr_in_date,14)=0)+(cr_in_rep="Monthly")*(((DAY(cr_in_date)=DAY($B53))+(DAY($B53)=DAY(EOMONTH($B53,0)))*(DAY(cr_in_date)&gt;DAY($B53)))&gt;0)+(cr_in_rep="Quarterly")*(((DAY(cr_in_date)=DAY($B53))+(DAY($B53)=DAY(EOMONTH($B53,0)))*(DAY(cr_in_date)&gt;DAY($B53)))&gt;0)*(MOD((YEAR($B53)-YEAR(cr_in_date))*12+MONTH($B53)-MONTH(cr_in_date),3)=0)))&gt;0,"+ "&amp;cr_in_name,""),IF((cr_out_amt&gt;0)*((cr_out_date&gt;0)*(cr_out_date&lt;=$B53)*(((cr_out_rep="Once")+(cr_out_rep=""))*(cr_out_date=$B53)+(cr_out_rep="Every day")+(cr_out_rep="Weekly")*(MOD($B53-cr_out_date,7)=0)+(cr_out_rep="Every 2 weeks")*(MOD($B53-cr_out_date,14)=0)+(cr_out_rep="Monthly")*(((DAY(cr_out_date)=DAY($B53))+(DAY($B53)=DAY(EOMONTH($B53,0)))*(DAY(cr_out_date)&gt;DAY($B53)))&gt;0)+(cr_out_rep="Quarterly")*(((DAY(cr_out_date)=DAY($B53))+(DAY($B53)=DAY(EOMONTH($B53,0)))*(DAY(cr_out_date)&gt;DAY($B53)))&gt;0)*(MOD((YEAR($B53)-YEAR(cr_out_date))*12+MONTH($B53)-MONTH(cr_out_date),3)=0)))&gt;0,cr_out_name,"")),"")</f>
        <v>+ Shop takings (typical week)  ·  Wages  ·  Christmas bonus</v>
      </c>
      <c r="D53" s="43">
        <f>SUMPRODUCT(cr_in_amt*(cr_in_date&gt;0)*(cr_in_date&lt;=$B53)*(((cr_in_rep="Once")+(cr_in_rep=""))*(cr_in_date=$B53)+(cr_in_rep="Every day")+(cr_in_rep="Weekly")*(MOD($B53-cr_in_date,7)=0)+(cr_in_rep="Every 2 weeks")*(MOD($B53-cr_in_date,14)=0)+(cr_in_rep="Monthly")*(((DAY(cr_in_date)=DAY($B53))+(DAY($B53)=DAY(EOMONTH($B53,0)))*(DAY(cr_in_date)&gt;DAY($B53)))&gt;0)+(cr_in_rep="Quarterly")*(((DAY(cr_in_date)=DAY($B53))+(DAY($B53)=DAY(EOMONTH($B53,0)))*(DAY(cr_in_date)&gt;DAY($B53)))&gt;0)*(MOD((YEAR($B53)-YEAR(cr_in_date))*12+MONTH($B53)-MONTH(cr_in_date),3)=0)))</f>
        <v>2600.0</v>
      </c>
      <c r="E53" s="43">
        <f>SUMPRODUCT(cr_out_amt*(cr_out_date&gt;0)*(cr_out_date&lt;=$B53)*(((cr_out_rep="Once")+(cr_out_rep=""))*(cr_out_date=$B53)+(cr_out_rep="Every day")+(cr_out_rep="Weekly")*(MOD($B53-cr_out_date,7)=0)+(cr_out_rep="Every 2 weeks")*(MOD($B53-cr_out_date,14)=0)+(cr_out_rep="Monthly")*(((DAY(cr_out_date)=DAY($B53))+(DAY($B53)=DAY(EOMONTH($B53,0)))*(DAY(cr_out_date)&gt;DAY($B53)))&gt;0)+(cr_out_rep="Quarterly")*(((DAY(cr_out_date)=DAY($B53))+(DAY($B53)=DAY(EOMONTH($B53,0)))*(DAY(cr_out_date)&gt;DAY($B53)))&gt;0)*(MOD((YEAR($B53)-YEAR(cr_out_date))*12+MONTH($B53)-MONTH(cr_out_date),3)=0)))</f>
        <v>4900.0</v>
      </c>
      <c r="F53" s="44">
        <f>F52+D53-E53</f>
        <v>8520.0</v>
      </c>
      <c r="G53" s="45">
        <f>F53-cr_floor</f>
        <v>3520.0</v>
      </c>
      <c r="H53" s="46">
        <f>F53-cr_big_amt*($B53&gt;=cr_big_date)*($B53&lt;cr_big_date+cr_late)</f>
        <v>8520.0</v>
      </c>
    </row>
    <row r="54" spans="2:8" s="1" customFormat="1">
      <c r="B54" s="41">
        <f>B53+1</f>
        <v>46375.0</v>
      </c>
      <c r="C54" s="42" t="str">
        <f t="array" ref="C54">IFERROR(_xlfn.TEXTJOIN("  ·  ",TRUE,IF((cr_in_amt&gt;0)*((cr_in_date&gt;0)*(cr_in_date&lt;=$B54)*(((cr_in_rep="Once")+(cr_in_rep=""))*(cr_in_date=$B54)+(cr_in_rep="Every day")+(cr_in_rep="Weekly")*(MOD($B54-cr_in_date,7)=0)+(cr_in_rep="Every 2 weeks")*(MOD($B54-cr_in_date,14)=0)+(cr_in_rep="Monthly")*(((DAY(cr_in_date)=DAY($B54))+(DAY($B54)=DAY(EOMONTH($B54,0)))*(DAY(cr_in_date)&gt;DAY($B54)))&gt;0)+(cr_in_rep="Quarterly")*(((DAY(cr_in_date)=DAY($B54))+(DAY($B54)=DAY(EOMONTH($B54,0)))*(DAY(cr_in_date)&gt;DAY($B54)))&gt;0)*(MOD((YEAR($B54)-YEAR(cr_in_date))*12+MONTH($B54)-MONTH(cr_in_date),3)=0)))&gt;0,"+ "&amp;cr_in_name,""),IF((cr_out_amt&gt;0)*((cr_out_date&gt;0)*(cr_out_date&lt;=$B54)*(((cr_out_rep="Once")+(cr_out_rep=""))*(cr_out_date=$B54)+(cr_out_rep="Every day")+(cr_out_rep="Weekly")*(MOD($B54-cr_out_date,7)=0)+(cr_out_rep="Every 2 weeks")*(MOD($B54-cr_out_date,14)=0)+(cr_out_rep="Monthly")*(((DAY(cr_out_date)=DAY($B54))+(DAY($B54)=DAY(EOMONTH($B54,0)))*(DAY(cr_out_date)&gt;DAY($B54)))&gt;0)+(cr_out_rep="Quarterly")*(((DAY(cr_out_date)=DAY($B54))+(DAY($B54)=DAY(EOMONTH($B54,0)))*(DAY(cr_out_date)&gt;DAY($B54)))&gt;0)*(MOD((YEAR($B54)-YEAR(cr_out_date))*12+MONTH($B54)-MONTH(cr_out_date),3)=0)))&gt;0,cr_out_name,"")),"")</f>
        <v/>
      </c>
      <c r="D54" s="43">
        <f>SUMPRODUCT(cr_in_amt*(cr_in_date&gt;0)*(cr_in_date&lt;=$B54)*(((cr_in_rep="Once")+(cr_in_rep=""))*(cr_in_date=$B54)+(cr_in_rep="Every day")+(cr_in_rep="Weekly")*(MOD($B54-cr_in_date,7)=0)+(cr_in_rep="Every 2 weeks")*(MOD($B54-cr_in_date,14)=0)+(cr_in_rep="Monthly")*(((DAY(cr_in_date)=DAY($B54))+(DAY($B54)=DAY(EOMONTH($B54,0)))*(DAY(cr_in_date)&gt;DAY($B54)))&gt;0)+(cr_in_rep="Quarterly")*(((DAY(cr_in_date)=DAY($B54))+(DAY($B54)=DAY(EOMONTH($B54,0)))*(DAY(cr_in_date)&gt;DAY($B54)))&gt;0)*(MOD((YEAR($B54)-YEAR(cr_in_date))*12+MONTH($B54)-MONTH(cr_in_date),3)=0)))</f>
        <v>0.0</v>
      </c>
      <c r="E54" s="43">
        <f>SUMPRODUCT(cr_out_amt*(cr_out_date&gt;0)*(cr_out_date&lt;=$B54)*(((cr_out_rep="Once")+(cr_out_rep=""))*(cr_out_date=$B54)+(cr_out_rep="Every day")+(cr_out_rep="Weekly")*(MOD($B54-cr_out_date,7)=0)+(cr_out_rep="Every 2 weeks")*(MOD($B54-cr_out_date,14)=0)+(cr_out_rep="Monthly")*(((DAY(cr_out_date)=DAY($B54))+(DAY($B54)=DAY(EOMONTH($B54,0)))*(DAY(cr_out_date)&gt;DAY($B54)))&gt;0)+(cr_out_rep="Quarterly")*(((DAY(cr_out_date)=DAY($B54))+(DAY($B54)=DAY(EOMONTH($B54,0)))*(DAY(cr_out_date)&gt;DAY($B54)))&gt;0)*(MOD((YEAR($B54)-YEAR(cr_out_date))*12+MONTH($B54)-MONTH(cr_out_date),3)=0)))</f>
        <v>0.0</v>
      </c>
      <c r="F54" s="44">
        <f>F53+D54-E54</f>
        <v>8520.0</v>
      </c>
      <c r="G54" s="45">
        <f>F54-cr_floor</f>
        <v>3520.0</v>
      </c>
      <c r="H54" s="46">
        <f>F54-cr_big_amt*($B54&gt;=cr_big_date)*($B54&lt;cr_big_date+cr_late)</f>
        <v>8520.0</v>
      </c>
    </row>
    <row r="55" spans="2:8" s="1" customFormat="1">
      <c r="B55" s="47">
        <f>B54+1</f>
        <v>46376.0</v>
      </c>
      <c r="C55" s="48" t="str">
        <f t="array" ref="C55">IFERROR(_xlfn.TEXTJOIN("  ·  ",TRUE,IF((cr_in_amt&gt;0)*((cr_in_date&gt;0)*(cr_in_date&lt;=$B55)*(((cr_in_rep="Once")+(cr_in_rep=""))*(cr_in_date=$B55)+(cr_in_rep="Every day")+(cr_in_rep="Weekly")*(MOD($B55-cr_in_date,7)=0)+(cr_in_rep="Every 2 weeks")*(MOD($B55-cr_in_date,14)=0)+(cr_in_rep="Monthly")*(((DAY(cr_in_date)=DAY($B55))+(DAY($B55)=DAY(EOMONTH($B55,0)))*(DAY(cr_in_date)&gt;DAY($B55)))&gt;0)+(cr_in_rep="Quarterly")*(((DAY(cr_in_date)=DAY($B55))+(DAY($B55)=DAY(EOMONTH($B55,0)))*(DAY(cr_in_date)&gt;DAY($B55)))&gt;0)*(MOD((YEAR($B55)-YEAR(cr_in_date))*12+MONTH($B55)-MONTH(cr_in_date),3)=0)))&gt;0,"+ "&amp;cr_in_name,""),IF((cr_out_amt&gt;0)*((cr_out_date&gt;0)*(cr_out_date&lt;=$B55)*(((cr_out_rep="Once")+(cr_out_rep=""))*(cr_out_date=$B55)+(cr_out_rep="Every day")+(cr_out_rep="Weekly")*(MOD($B55-cr_out_date,7)=0)+(cr_out_rep="Every 2 weeks")*(MOD($B55-cr_out_date,14)=0)+(cr_out_rep="Monthly")*(((DAY(cr_out_date)=DAY($B55))+(DAY($B55)=DAY(EOMONTH($B55,0)))*(DAY(cr_out_date)&gt;DAY($B55)))&gt;0)+(cr_out_rep="Quarterly")*(((DAY(cr_out_date)=DAY($B55))+(DAY($B55)=DAY(EOMONTH($B55,0)))*(DAY(cr_out_date)&gt;DAY($B55)))&gt;0)*(MOD((YEAR($B55)-YEAR(cr_out_date))*12+MONTH($B55)-MONTH(cr_out_date),3)=0)))&gt;0,cr_out_name,"")),"")</f>
        <v/>
      </c>
      <c r="D55" s="49">
        <f>SUMPRODUCT(cr_in_amt*(cr_in_date&gt;0)*(cr_in_date&lt;=$B55)*(((cr_in_rep="Once")+(cr_in_rep=""))*(cr_in_date=$B55)+(cr_in_rep="Every day")+(cr_in_rep="Weekly")*(MOD($B55-cr_in_date,7)=0)+(cr_in_rep="Every 2 weeks")*(MOD($B55-cr_in_date,14)=0)+(cr_in_rep="Monthly")*(((DAY(cr_in_date)=DAY($B55))+(DAY($B55)=DAY(EOMONTH($B55,0)))*(DAY(cr_in_date)&gt;DAY($B55)))&gt;0)+(cr_in_rep="Quarterly")*(((DAY(cr_in_date)=DAY($B55))+(DAY($B55)=DAY(EOMONTH($B55,0)))*(DAY(cr_in_date)&gt;DAY($B55)))&gt;0)*(MOD((YEAR($B55)-YEAR(cr_in_date))*12+MONTH($B55)-MONTH(cr_in_date),3)=0)))</f>
        <v>0.0</v>
      </c>
      <c r="E55" s="49">
        <f>SUMPRODUCT(cr_out_amt*(cr_out_date&gt;0)*(cr_out_date&lt;=$B55)*(((cr_out_rep="Once")+(cr_out_rep=""))*(cr_out_date=$B55)+(cr_out_rep="Every day")+(cr_out_rep="Weekly")*(MOD($B55-cr_out_date,7)=0)+(cr_out_rep="Every 2 weeks")*(MOD($B55-cr_out_date,14)=0)+(cr_out_rep="Monthly")*(((DAY(cr_out_date)=DAY($B55))+(DAY($B55)=DAY(EOMONTH($B55,0)))*(DAY(cr_out_date)&gt;DAY($B55)))&gt;0)+(cr_out_rep="Quarterly")*(((DAY(cr_out_date)=DAY($B55))+(DAY($B55)=DAY(EOMONTH($B55,0)))*(DAY(cr_out_date)&gt;DAY($B55)))&gt;0)*(MOD((YEAR($B55)-YEAR(cr_out_date))*12+MONTH($B55)-MONTH(cr_out_date),3)=0)))</f>
        <v>0.0</v>
      </c>
      <c r="F55" s="38">
        <f>F54+D55-E55</f>
        <v>8520.0</v>
      </c>
      <c r="G55" s="39">
        <f>F55-cr_floor</f>
        <v>3520.0</v>
      </c>
      <c r="H55" s="40">
        <f>F55-cr_big_amt*($B55&gt;=cr_big_date)*($B55&lt;cr_big_date+cr_late)</f>
        <v>8520.0</v>
      </c>
    </row>
    <row r="56" spans="2:8" s="1" customFormat="1">
      <c r="B56" s="41">
        <f>B55+1</f>
        <v>46377.0</v>
      </c>
      <c r="C56" s="42" t="str">
        <f t="array" ref="C56">IFERROR(_xlfn.TEXTJOIN("  ·  ",TRUE,IF((cr_in_amt&gt;0)*((cr_in_date&gt;0)*(cr_in_date&lt;=$B56)*(((cr_in_rep="Once")+(cr_in_rep=""))*(cr_in_date=$B56)+(cr_in_rep="Every day")+(cr_in_rep="Weekly")*(MOD($B56-cr_in_date,7)=0)+(cr_in_rep="Every 2 weeks")*(MOD($B56-cr_in_date,14)=0)+(cr_in_rep="Monthly")*(((DAY(cr_in_date)=DAY($B56))+(DAY($B56)=DAY(EOMONTH($B56,0)))*(DAY(cr_in_date)&gt;DAY($B56)))&gt;0)+(cr_in_rep="Quarterly")*(((DAY(cr_in_date)=DAY($B56))+(DAY($B56)=DAY(EOMONTH($B56,0)))*(DAY(cr_in_date)&gt;DAY($B56)))&gt;0)*(MOD((YEAR($B56)-YEAR(cr_in_date))*12+MONTH($B56)-MONTH(cr_in_date),3)=0)))&gt;0,"+ "&amp;cr_in_name,""),IF((cr_out_amt&gt;0)*((cr_out_date&gt;0)*(cr_out_date&lt;=$B56)*(((cr_out_rep="Once")+(cr_out_rep=""))*(cr_out_date=$B56)+(cr_out_rep="Every day")+(cr_out_rep="Weekly")*(MOD($B56-cr_out_date,7)=0)+(cr_out_rep="Every 2 weeks")*(MOD($B56-cr_out_date,14)=0)+(cr_out_rep="Monthly")*(((DAY(cr_out_date)=DAY($B56))+(DAY($B56)=DAY(EOMONTH($B56,0)))*(DAY(cr_out_date)&gt;DAY($B56)))&gt;0)+(cr_out_rep="Quarterly")*(((DAY(cr_out_date)=DAY($B56))+(DAY($B56)=DAY(EOMONTH($B56,0)))*(DAY(cr_out_date)&gt;DAY($B56)))&gt;0)*(MOD((YEAR($B56)-YEAR(cr_out_date))*12+MONTH($B56)-MONTH(cr_out_date),3)=0)))&gt;0,cr_out_name,"")),"")</f>
        <v/>
      </c>
      <c r="D56" s="43">
        <f>SUMPRODUCT(cr_in_amt*(cr_in_date&gt;0)*(cr_in_date&lt;=$B56)*(((cr_in_rep="Once")+(cr_in_rep=""))*(cr_in_date=$B56)+(cr_in_rep="Every day")+(cr_in_rep="Weekly")*(MOD($B56-cr_in_date,7)=0)+(cr_in_rep="Every 2 weeks")*(MOD($B56-cr_in_date,14)=0)+(cr_in_rep="Monthly")*(((DAY(cr_in_date)=DAY($B56))+(DAY($B56)=DAY(EOMONTH($B56,0)))*(DAY(cr_in_date)&gt;DAY($B56)))&gt;0)+(cr_in_rep="Quarterly")*(((DAY(cr_in_date)=DAY($B56))+(DAY($B56)=DAY(EOMONTH($B56,0)))*(DAY(cr_in_date)&gt;DAY($B56)))&gt;0)*(MOD((YEAR($B56)-YEAR(cr_in_date))*12+MONTH($B56)-MONTH(cr_in_date),3)=0)))</f>
        <v>0.0</v>
      </c>
      <c r="E56" s="43">
        <f>SUMPRODUCT(cr_out_amt*(cr_out_date&gt;0)*(cr_out_date&lt;=$B56)*(((cr_out_rep="Once")+(cr_out_rep=""))*(cr_out_date=$B56)+(cr_out_rep="Every day")+(cr_out_rep="Weekly")*(MOD($B56-cr_out_date,7)=0)+(cr_out_rep="Every 2 weeks")*(MOD($B56-cr_out_date,14)=0)+(cr_out_rep="Monthly")*(((DAY(cr_out_date)=DAY($B56))+(DAY($B56)=DAY(EOMONTH($B56,0)))*(DAY(cr_out_date)&gt;DAY($B56)))&gt;0)+(cr_out_rep="Quarterly")*(((DAY(cr_out_date)=DAY($B56))+(DAY($B56)=DAY(EOMONTH($B56,0)))*(DAY(cr_out_date)&gt;DAY($B56)))&gt;0)*(MOD((YEAR($B56)-YEAR(cr_out_date))*12+MONTH($B56)-MONTH(cr_out_date),3)=0)))</f>
        <v>0.0</v>
      </c>
      <c r="F56" s="44">
        <f>F55+D56-E56</f>
        <v>8520.0</v>
      </c>
      <c r="G56" s="45">
        <f>F56-cr_floor</f>
        <v>3520.0</v>
      </c>
      <c r="H56" s="46">
        <f>F56-cr_big_amt*($B56&gt;=cr_big_date)*($B56&lt;cr_big_date+cr_late)</f>
        <v>8520.0</v>
      </c>
    </row>
    <row r="57" spans="2:8" s="1" customFormat="1">
      <c r="B57" s="41">
        <f>B56+1</f>
        <v>46378.0</v>
      </c>
      <c r="C57" s="42" t="str">
        <f t="array" ref="C57">IFERROR(_xlfn.TEXTJOIN("  ·  ",TRUE,IF((cr_in_amt&gt;0)*((cr_in_date&gt;0)*(cr_in_date&lt;=$B57)*(((cr_in_rep="Once")+(cr_in_rep=""))*(cr_in_date=$B57)+(cr_in_rep="Every day")+(cr_in_rep="Weekly")*(MOD($B57-cr_in_date,7)=0)+(cr_in_rep="Every 2 weeks")*(MOD($B57-cr_in_date,14)=0)+(cr_in_rep="Monthly")*(((DAY(cr_in_date)=DAY($B57))+(DAY($B57)=DAY(EOMONTH($B57,0)))*(DAY(cr_in_date)&gt;DAY($B57)))&gt;0)+(cr_in_rep="Quarterly")*(((DAY(cr_in_date)=DAY($B57))+(DAY($B57)=DAY(EOMONTH($B57,0)))*(DAY(cr_in_date)&gt;DAY($B57)))&gt;0)*(MOD((YEAR($B57)-YEAR(cr_in_date))*12+MONTH($B57)-MONTH(cr_in_date),3)=0)))&gt;0,"+ "&amp;cr_in_name,""),IF((cr_out_amt&gt;0)*((cr_out_date&gt;0)*(cr_out_date&lt;=$B57)*(((cr_out_rep="Once")+(cr_out_rep=""))*(cr_out_date=$B57)+(cr_out_rep="Every day")+(cr_out_rep="Weekly")*(MOD($B57-cr_out_date,7)=0)+(cr_out_rep="Every 2 weeks")*(MOD($B57-cr_out_date,14)=0)+(cr_out_rep="Monthly")*(((DAY(cr_out_date)=DAY($B57))+(DAY($B57)=DAY(EOMONTH($B57,0)))*(DAY(cr_out_date)&gt;DAY($B57)))&gt;0)+(cr_out_rep="Quarterly")*(((DAY(cr_out_date)=DAY($B57))+(DAY($B57)=DAY(EOMONTH($B57,0)))*(DAY(cr_out_date)&gt;DAY($B57)))&gt;0)*(MOD((YEAR($B57)-YEAR(cr_out_date))*12+MONTH($B57)-MONTH(cr_out_date),3)=0)))&gt;0,cr_out_name,"")),"")</f>
        <v/>
      </c>
      <c r="D57" s="43">
        <f>SUMPRODUCT(cr_in_amt*(cr_in_date&gt;0)*(cr_in_date&lt;=$B57)*(((cr_in_rep="Once")+(cr_in_rep=""))*(cr_in_date=$B57)+(cr_in_rep="Every day")+(cr_in_rep="Weekly")*(MOD($B57-cr_in_date,7)=0)+(cr_in_rep="Every 2 weeks")*(MOD($B57-cr_in_date,14)=0)+(cr_in_rep="Monthly")*(((DAY(cr_in_date)=DAY($B57))+(DAY($B57)=DAY(EOMONTH($B57,0)))*(DAY(cr_in_date)&gt;DAY($B57)))&gt;0)+(cr_in_rep="Quarterly")*(((DAY(cr_in_date)=DAY($B57))+(DAY($B57)=DAY(EOMONTH($B57,0)))*(DAY(cr_in_date)&gt;DAY($B57)))&gt;0)*(MOD((YEAR($B57)-YEAR(cr_in_date))*12+MONTH($B57)-MONTH(cr_in_date),3)=0)))</f>
        <v>0.0</v>
      </c>
      <c r="E57" s="43">
        <f>SUMPRODUCT(cr_out_amt*(cr_out_date&gt;0)*(cr_out_date&lt;=$B57)*(((cr_out_rep="Once")+(cr_out_rep=""))*(cr_out_date=$B57)+(cr_out_rep="Every day")+(cr_out_rep="Weekly")*(MOD($B57-cr_out_date,7)=0)+(cr_out_rep="Every 2 weeks")*(MOD($B57-cr_out_date,14)=0)+(cr_out_rep="Monthly")*(((DAY(cr_out_date)=DAY($B57))+(DAY($B57)=DAY(EOMONTH($B57,0)))*(DAY(cr_out_date)&gt;DAY($B57)))&gt;0)+(cr_out_rep="Quarterly")*(((DAY(cr_out_date)=DAY($B57))+(DAY($B57)=DAY(EOMONTH($B57,0)))*(DAY(cr_out_date)&gt;DAY($B57)))&gt;0)*(MOD((YEAR($B57)-YEAR(cr_out_date))*12+MONTH($B57)-MONTH(cr_out_date),3)=0)))</f>
        <v>0.0</v>
      </c>
      <c r="F57" s="44">
        <f>F56+D57-E57</f>
        <v>8520.0</v>
      </c>
      <c r="G57" s="45">
        <f>F57-cr_floor</f>
        <v>3520.0</v>
      </c>
      <c r="H57" s="46">
        <f>F57-cr_big_amt*($B57&gt;=cr_big_date)*($B57&lt;cr_big_date+cr_late)</f>
        <v>8520.0</v>
      </c>
    </row>
    <row r="58" spans="2:8" s="1" customFormat="1">
      <c r="B58" s="41">
        <f>B57+1</f>
        <v>46379.0</v>
      </c>
      <c r="C58" s="42" t="str">
        <f t="array" ref="C58">IFERROR(_xlfn.TEXTJOIN("  ·  ",TRUE,IF((cr_in_amt&gt;0)*((cr_in_date&gt;0)*(cr_in_date&lt;=$B58)*(((cr_in_rep="Once")+(cr_in_rep=""))*(cr_in_date=$B58)+(cr_in_rep="Every day")+(cr_in_rep="Weekly")*(MOD($B58-cr_in_date,7)=0)+(cr_in_rep="Every 2 weeks")*(MOD($B58-cr_in_date,14)=0)+(cr_in_rep="Monthly")*(((DAY(cr_in_date)=DAY($B58))+(DAY($B58)=DAY(EOMONTH($B58,0)))*(DAY(cr_in_date)&gt;DAY($B58)))&gt;0)+(cr_in_rep="Quarterly")*(((DAY(cr_in_date)=DAY($B58))+(DAY($B58)=DAY(EOMONTH($B58,0)))*(DAY(cr_in_date)&gt;DAY($B58)))&gt;0)*(MOD((YEAR($B58)-YEAR(cr_in_date))*12+MONTH($B58)-MONTH(cr_in_date),3)=0)))&gt;0,"+ "&amp;cr_in_name,""),IF((cr_out_amt&gt;0)*((cr_out_date&gt;0)*(cr_out_date&lt;=$B58)*(((cr_out_rep="Once")+(cr_out_rep=""))*(cr_out_date=$B58)+(cr_out_rep="Every day")+(cr_out_rep="Weekly")*(MOD($B58-cr_out_date,7)=0)+(cr_out_rep="Every 2 weeks")*(MOD($B58-cr_out_date,14)=0)+(cr_out_rep="Monthly")*(((DAY(cr_out_date)=DAY($B58))+(DAY($B58)=DAY(EOMONTH($B58,0)))*(DAY(cr_out_date)&gt;DAY($B58)))&gt;0)+(cr_out_rep="Quarterly")*(((DAY(cr_out_date)=DAY($B58))+(DAY($B58)=DAY(EOMONTH($B58,0)))*(DAY(cr_out_date)&gt;DAY($B58)))&gt;0)*(MOD((YEAR($B58)-YEAR(cr_out_date))*12+MONTH($B58)-MONTH(cr_out_date),3)=0)))&gt;0,cr_out_name,"")),"")</f>
        <v/>
      </c>
      <c r="D58" s="43">
        <f>SUMPRODUCT(cr_in_amt*(cr_in_date&gt;0)*(cr_in_date&lt;=$B58)*(((cr_in_rep="Once")+(cr_in_rep=""))*(cr_in_date=$B58)+(cr_in_rep="Every day")+(cr_in_rep="Weekly")*(MOD($B58-cr_in_date,7)=0)+(cr_in_rep="Every 2 weeks")*(MOD($B58-cr_in_date,14)=0)+(cr_in_rep="Monthly")*(((DAY(cr_in_date)=DAY($B58))+(DAY($B58)=DAY(EOMONTH($B58,0)))*(DAY(cr_in_date)&gt;DAY($B58)))&gt;0)+(cr_in_rep="Quarterly")*(((DAY(cr_in_date)=DAY($B58))+(DAY($B58)=DAY(EOMONTH($B58,0)))*(DAY(cr_in_date)&gt;DAY($B58)))&gt;0)*(MOD((YEAR($B58)-YEAR(cr_in_date))*12+MONTH($B58)-MONTH(cr_in_date),3)=0)))</f>
        <v>0.0</v>
      </c>
      <c r="E58" s="43">
        <f>SUMPRODUCT(cr_out_amt*(cr_out_date&gt;0)*(cr_out_date&lt;=$B58)*(((cr_out_rep="Once")+(cr_out_rep=""))*(cr_out_date=$B58)+(cr_out_rep="Every day")+(cr_out_rep="Weekly")*(MOD($B58-cr_out_date,7)=0)+(cr_out_rep="Every 2 weeks")*(MOD($B58-cr_out_date,14)=0)+(cr_out_rep="Monthly")*(((DAY(cr_out_date)=DAY($B58))+(DAY($B58)=DAY(EOMONTH($B58,0)))*(DAY(cr_out_date)&gt;DAY($B58)))&gt;0)+(cr_out_rep="Quarterly")*(((DAY(cr_out_date)=DAY($B58))+(DAY($B58)=DAY(EOMONTH($B58,0)))*(DAY(cr_out_date)&gt;DAY($B58)))&gt;0)*(MOD((YEAR($B58)-YEAR(cr_out_date))*12+MONTH($B58)-MONTH(cr_out_date),3)=0)))</f>
        <v>0.0</v>
      </c>
      <c r="F58" s="44">
        <f>F57+D58-E58</f>
        <v>8520.0</v>
      </c>
      <c r="G58" s="45">
        <f>F58-cr_floor</f>
        <v>3520.0</v>
      </c>
      <c r="H58" s="46">
        <f>F58-cr_big_amt*($B58&gt;=cr_big_date)*($B58&lt;cr_big_date+cr_late)</f>
        <v>8520.0</v>
      </c>
    </row>
    <row r="59" spans="2:8" s="1" customFormat="1">
      <c r="B59" s="41">
        <f>B58+1</f>
        <v>46380.0</v>
      </c>
      <c r="C59" s="42" t="str">
        <f t="array" ref="C59">IFERROR(_xlfn.TEXTJOIN("  ·  ",TRUE,IF((cr_in_amt&gt;0)*((cr_in_date&gt;0)*(cr_in_date&lt;=$B59)*(((cr_in_rep="Once")+(cr_in_rep=""))*(cr_in_date=$B59)+(cr_in_rep="Every day")+(cr_in_rep="Weekly")*(MOD($B59-cr_in_date,7)=0)+(cr_in_rep="Every 2 weeks")*(MOD($B59-cr_in_date,14)=0)+(cr_in_rep="Monthly")*(((DAY(cr_in_date)=DAY($B59))+(DAY($B59)=DAY(EOMONTH($B59,0)))*(DAY(cr_in_date)&gt;DAY($B59)))&gt;0)+(cr_in_rep="Quarterly")*(((DAY(cr_in_date)=DAY($B59))+(DAY($B59)=DAY(EOMONTH($B59,0)))*(DAY(cr_in_date)&gt;DAY($B59)))&gt;0)*(MOD((YEAR($B59)-YEAR(cr_in_date))*12+MONTH($B59)-MONTH(cr_in_date),3)=0)))&gt;0,"+ "&amp;cr_in_name,""),IF((cr_out_amt&gt;0)*((cr_out_date&gt;0)*(cr_out_date&lt;=$B59)*(((cr_out_rep="Once")+(cr_out_rep=""))*(cr_out_date=$B59)+(cr_out_rep="Every day")+(cr_out_rep="Weekly")*(MOD($B59-cr_out_date,7)=0)+(cr_out_rep="Every 2 weeks")*(MOD($B59-cr_out_date,14)=0)+(cr_out_rep="Monthly")*(((DAY(cr_out_date)=DAY($B59))+(DAY($B59)=DAY(EOMONTH($B59,0)))*(DAY(cr_out_date)&gt;DAY($B59)))&gt;0)+(cr_out_rep="Quarterly")*(((DAY(cr_out_date)=DAY($B59))+(DAY($B59)=DAY(EOMONTH($B59,0)))*(DAY(cr_out_date)&gt;DAY($B59)))&gt;0)*(MOD((YEAR($B59)-YEAR(cr_out_date))*12+MONTH($B59)-MONTH(cr_out_date),3)=0)))&gt;0,cr_out_name,"")),"")</f>
        <v/>
      </c>
      <c r="D59" s="43">
        <f>SUMPRODUCT(cr_in_amt*(cr_in_date&gt;0)*(cr_in_date&lt;=$B59)*(((cr_in_rep="Once")+(cr_in_rep=""))*(cr_in_date=$B59)+(cr_in_rep="Every day")+(cr_in_rep="Weekly")*(MOD($B59-cr_in_date,7)=0)+(cr_in_rep="Every 2 weeks")*(MOD($B59-cr_in_date,14)=0)+(cr_in_rep="Monthly")*(((DAY(cr_in_date)=DAY($B59))+(DAY($B59)=DAY(EOMONTH($B59,0)))*(DAY(cr_in_date)&gt;DAY($B59)))&gt;0)+(cr_in_rep="Quarterly")*(((DAY(cr_in_date)=DAY($B59))+(DAY($B59)=DAY(EOMONTH($B59,0)))*(DAY(cr_in_date)&gt;DAY($B59)))&gt;0)*(MOD((YEAR($B59)-YEAR(cr_in_date))*12+MONTH($B59)-MONTH(cr_in_date),3)=0)))</f>
        <v>0.0</v>
      </c>
      <c r="E59" s="43">
        <f>SUMPRODUCT(cr_out_amt*(cr_out_date&gt;0)*(cr_out_date&lt;=$B59)*(((cr_out_rep="Once")+(cr_out_rep=""))*(cr_out_date=$B59)+(cr_out_rep="Every day")+(cr_out_rep="Weekly")*(MOD($B59-cr_out_date,7)=0)+(cr_out_rep="Every 2 weeks")*(MOD($B59-cr_out_date,14)=0)+(cr_out_rep="Monthly")*(((DAY(cr_out_date)=DAY($B59))+(DAY($B59)=DAY(EOMONTH($B59,0)))*(DAY(cr_out_date)&gt;DAY($B59)))&gt;0)+(cr_out_rep="Quarterly")*(((DAY(cr_out_date)=DAY($B59))+(DAY($B59)=DAY(EOMONTH($B59,0)))*(DAY(cr_out_date)&gt;DAY($B59)))&gt;0)*(MOD((YEAR($B59)-YEAR(cr_out_date))*12+MONTH($B59)-MONTH(cr_out_date),3)=0)))</f>
        <v>0.0</v>
      </c>
      <c r="F59" s="44">
        <f>F58+D59-E59</f>
        <v>8520.0</v>
      </c>
      <c r="G59" s="45">
        <f>F59-cr_floor</f>
        <v>3520.0</v>
      </c>
      <c r="H59" s="46">
        <f>F59-cr_big_amt*($B59&gt;=cr_big_date)*($B59&lt;cr_big_date+cr_late)</f>
        <v>8520.0</v>
      </c>
    </row>
    <row r="60" spans="2:8" s="1" customFormat="1">
      <c r="B60" s="41">
        <f>B59+1</f>
        <v>46381.0</v>
      </c>
      <c r="C60" s="42" t="str">
        <f t="array" ref="C60">IFERROR(_xlfn.TEXTJOIN("  ·  ",TRUE,IF((cr_in_amt&gt;0)*((cr_in_date&gt;0)*(cr_in_date&lt;=$B60)*(((cr_in_rep="Once")+(cr_in_rep=""))*(cr_in_date=$B60)+(cr_in_rep="Every day")+(cr_in_rep="Weekly")*(MOD($B60-cr_in_date,7)=0)+(cr_in_rep="Every 2 weeks")*(MOD($B60-cr_in_date,14)=0)+(cr_in_rep="Monthly")*(((DAY(cr_in_date)=DAY($B60))+(DAY($B60)=DAY(EOMONTH($B60,0)))*(DAY(cr_in_date)&gt;DAY($B60)))&gt;0)+(cr_in_rep="Quarterly")*(((DAY(cr_in_date)=DAY($B60))+(DAY($B60)=DAY(EOMONTH($B60,0)))*(DAY(cr_in_date)&gt;DAY($B60)))&gt;0)*(MOD((YEAR($B60)-YEAR(cr_in_date))*12+MONTH($B60)-MONTH(cr_in_date),3)=0)))&gt;0,"+ "&amp;cr_in_name,""),IF((cr_out_amt&gt;0)*((cr_out_date&gt;0)*(cr_out_date&lt;=$B60)*(((cr_out_rep="Once")+(cr_out_rep=""))*(cr_out_date=$B60)+(cr_out_rep="Every day")+(cr_out_rep="Weekly")*(MOD($B60-cr_out_date,7)=0)+(cr_out_rep="Every 2 weeks")*(MOD($B60-cr_out_date,14)=0)+(cr_out_rep="Monthly")*(((DAY(cr_out_date)=DAY($B60))+(DAY($B60)=DAY(EOMONTH($B60,0)))*(DAY(cr_out_date)&gt;DAY($B60)))&gt;0)+(cr_out_rep="Quarterly")*(((DAY(cr_out_date)=DAY($B60))+(DAY($B60)=DAY(EOMONTH($B60,0)))*(DAY(cr_out_date)&gt;DAY($B60)))&gt;0)*(MOD((YEAR($B60)-YEAR(cr_out_date))*12+MONTH($B60)-MONTH(cr_out_date),3)=0)))&gt;0,cr_out_name,"")),"")</f>
        <v>+ Shop takings (typical week)</v>
      </c>
      <c r="D60" s="43">
        <f>SUMPRODUCT(cr_in_amt*(cr_in_date&gt;0)*(cr_in_date&lt;=$B60)*(((cr_in_rep="Once")+(cr_in_rep=""))*(cr_in_date=$B60)+(cr_in_rep="Every day")+(cr_in_rep="Weekly")*(MOD($B60-cr_in_date,7)=0)+(cr_in_rep="Every 2 weeks")*(MOD($B60-cr_in_date,14)=0)+(cr_in_rep="Monthly")*(((DAY(cr_in_date)=DAY($B60))+(DAY($B60)=DAY(EOMONTH($B60,0)))*(DAY(cr_in_date)&gt;DAY($B60)))&gt;0)+(cr_in_rep="Quarterly")*(((DAY(cr_in_date)=DAY($B60))+(DAY($B60)=DAY(EOMONTH($B60,0)))*(DAY(cr_in_date)&gt;DAY($B60)))&gt;0)*(MOD((YEAR($B60)-YEAR(cr_in_date))*12+MONTH($B60)-MONTH(cr_in_date),3)=0)))</f>
        <v>2600.0</v>
      </c>
      <c r="E60" s="43">
        <f>SUMPRODUCT(cr_out_amt*(cr_out_date&gt;0)*(cr_out_date&lt;=$B60)*(((cr_out_rep="Once")+(cr_out_rep=""))*(cr_out_date=$B60)+(cr_out_rep="Every day")+(cr_out_rep="Weekly")*(MOD($B60-cr_out_date,7)=0)+(cr_out_rep="Every 2 weeks")*(MOD($B60-cr_out_date,14)=0)+(cr_out_rep="Monthly")*(((DAY(cr_out_date)=DAY($B60))+(DAY($B60)=DAY(EOMONTH($B60,0)))*(DAY(cr_out_date)&gt;DAY($B60)))&gt;0)+(cr_out_rep="Quarterly")*(((DAY(cr_out_date)=DAY($B60))+(DAY($B60)=DAY(EOMONTH($B60,0)))*(DAY(cr_out_date)&gt;DAY($B60)))&gt;0)*(MOD((YEAR($B60)-YEAR(cr_out_date))*12+MONTH($B60)-MONTH(cr_out_date),3)=0)))</f>
        <v>0.0</v>
      </c>
      <c r="F60" s="44">
        <f>F59+D60-E60</f>
        <v>11120.0</v>
      </c>
      <c r="G60" s="45">
        <f>F60-cr_floor</f>
        <v>6120.0</v>
      </c>
      <c r="H60" s="46">
        <f>F60-cr_big_amt*($B60&gt;=cr_big_date)*($B60&lt;cr_big_date+cr_late)</f>
        <v>11120.0</v>
      </c>
    </row>
    <row r="61" spans="2:8" s="1" customFormat="1">
      <c r="B61" s="41">
        <f>B60+1</f>
        <v>46382.0</v>
      </c>
      <c r="C61" s="42" t="str">
        <f t="array" ref="C61">IFERROR(_xlfn.TEXTJOIN("  ·  ",TRUE,IF((cr_in_amt&gt;0)*((cr_in_date&gt;0)*(cr_in_date&lt;=$B61)*(((cr_in_rep="Once")+(cr_in_rep=""))*(cr_in_date=$B61)+(cr_in_rep="Every day")+(cr_in_rep="Weekly")*(MOD($B61-cr_in_date,7)=0)+(cr_in_rep="Every 2 weeks")*(MOD($B61-cr_in_date,14)=0)+(cr_in_rep="Monthly")*(((DAY(cr_in_date)=DAY($B61))+(DAY($B61)=DAY(EOMONTH($B61,0)))*(DAY(cr_in_date)&gt;DAY($B61)))&gt;0)+(cr_in_rep="Quarterly")*(((DAY(cr_in_date)=DAY($B61))+(DAY($B61)=DAY(EOMONTH($B61,0)))*(DAY(cr_in_date)&gt;DAY($B61)))&gt;0)*(MOD((YEAR($B61)-YEAR(cr_in_date))*12+MONTH($B61)-MONTH(cr_in_date),3)=0)))&gt;0,"+ "&amp;cr_in_name,""),IF((cr_out_amt&gt;0)*((cr_out_date&gt;0)*(cr_out_date&lt;=$B61)*(((cr_out_rep="Once")+(cr_out_rep=""))*(cr_out_date=$B61)+(cr_out_rep="Every day")+(cr_out_rep="Weekly")*(MOD($B61-cr_out_date,7)=0)+(cr_out_rep="Every 2 weeks")*(MOD($B61-cr_out_date,14)=0)+(cr_out_rep="Monthly")*(((DAY(cr_out_date)=DAY($B61))+(DAY($B61)=DAY(EOMONTH($B61,0)))*(DAY(cr_out_date)&gt;DAY($B61)))&gt;0)+(cr_out_rep="Quarterly")*(((DAY(cr_out_date)=DAY($B61))+(DAY($B61)=DAY(EOMONTH($B61,0)))*(DAY(cr_out_date)&gt;DAY($B61)))&gt;0)*(MOD((YEAR($B61)-YEAR(cr_out_date))*12+MONTH($B61)-MONTH(cr_out_date),3)=0)))&gt;0,cr_out_name,"")),"")</f>
        <v/>
      </c>
      <c r="D61" s="43">
        <f>SUMPRODUCT(cr_in_amt*(cr_in_date&gt;0)*(cr_in_date&lt;=$B61)*(((cr_in_rep="Once")+(cr_in_rep=""))*(cr_in_date=$B61)+(cr_in_rep="Every day")+(cr_in_rep="Weekly")*(MOD($B61-cr_in_date,7)=0)+(cr_in_rep="Every 2 weeks")*(MOD($B61-cr_in_date,14)=0)+(cr_in_rep="Monthly")*(((DAY(cr_in_date)=DAY($B61))+(DAY($B61)=DAY(EOMONTH($B61,0)))*(DAY(cr_in_date)&gt;DAY($B61)))&gt;0)+(cr_in_rep="Quarterly")*(((DAY(cr_in_date)=DAY($B61))+(DAY($B61)=DAY(EOMONTH($B61,0)))*(DAY(cr_in_date)&gt;DAY($B61)))&gt;0)*(MOD((YEAR($B61)-YEAR(cr_in_date))*12+MONTH($B61)-MONTH(cr_in_date),3)=0)))</f>
        <v>0.0</v>
      </c>
      <c r="E61" s="43">
        <f>SUMPRODUCT(cr_out_amt*(cr_out_date&gt;0)*(cr_out_date&lt;=$B61)*(((cr_out_rep="Once")+(cr_out_rep=""))*(cr_out_date=$B61)+(cr_out_rep="Every day")+(cr_out_rep="Weekly")*(MOD($B61-cr_out_date,7)=0)+(cr_out_rep="Every 2 weeks")*(MOD($B61-cr_out_date,14)=0)+(cr_out_rep="Monthly")*(((DAY(cr_out_date)=DAY($B61))+(DAY($B61)=DAY(EOMONTH($B61,0)))*(DAY(cr_out_date)&gt;DAY($B61)))&gt;0)+(cr_out_rep="Quarterly")*(((DAY(cr_out_date)=DAY($B61))+(DAY($B61)=DAY(EOMONTH($B61,0)))*(DAY(cr_out_date)&gt;DAY($B61)))&gt;0)*(MOD((YEAR($B61)-YEAR(cr_out_date))*12+MONTH($B61)-MONTH(cr_out_date),3)=0)))</f>
        <v>0.0</v>
      </c>
      <c r="F61" s="44">
        <f>F60+D61-E61</f>
        <v>11120.0</v>
      </c>
      <c r="G61" s="45">
        <f>F61-cr_floor</f>
        <v>6120.0</v>
      </c>
      <c r="H61" s="46">
        <f>F61-cr_big_amt*($B61&gt;=cr_big_date)*($B61&lt;cr_big_date+cr_late)</f>
        <v>11120.0</v>
      </c>
    </row>
    <row r="62" spans="2:8" s="1" customFormat="1">
      <c r="B62" s="47">
        <f>B61+1</f>
        <v>46383.0</v>
      </c>
      <c r="C62" s="48" t="str">
        <f t="array" ref="C62">IFERROR(_xlfn.TEXTJOIN("  ·  ",TRUE,IF((cr_in_amt&gt;0)*((cr_in_date&gt;0)*(cr_in_date&lt;=$B62)*(((cr_in_rep="Once")+(cr_in_rep=""))*(cr_in_date=$B62)+(cr_in_rep="Every day")+(cr_in_rep="Weekly")*(MOD($B62-cr_in_date,7)=0)+(cr_in_rep="Every 2 weeks")*(MOD($B62-cr_in_date,14)=0)+(cr_in_rep="Monthly")*(((DAY(cr_in_date)=DAY($B62))+(DAY($B62)=DAY(EOMONTH($B62,0)))*(DAY(cr_in_date)&gt;DAY($B62)))&gt;0)+(cr_in_rep="Quarterly")*(((DAY(cr_in_date)=DAY($B62))+(DAY($B62)=DAY(EOMONTH($B62,0)))*(DAY(cr_in_date)&gt;DAY($B62)))&gt;0)*(MOD((YEAR($B62)-YEAR(cr_in_date))*12+MONTH($B62)-MONTH(cr_in_date),3)=0)))&gt;0,"+ "&amp;cr_in_name,""),IF((cr_out_amt&gt;0)*((cr_out_date&gt;0)*(cr_out_date&lt;=$B62)*(((cr_out_rep="Once")+(cr_out_rep=""))*(cr_out_date=$B62)+(cr_out_rep="Every day")+(cr_out_rep="Weekly")*(MOD($B62-cr_out_date,7)=0)+(cr_out_rep="Every 2 weeks")*(MOD($B62-cr_out_date,14)=0)+(cr_out_rep="Monthly")*(((DAY(cr_out_date)=DAY($B62))+(DAY($B62)=DAY(EOMONTH($B62,0)))*(DAY(cr_out_date)&gt;DAY($B62)))&gt;0)+(cr_out_rep="Quarterly")*(((DAY(cr_out_date)=DAY($B62))+(DAY($B62)=DAY(EOMONTH($B62,0)))*(DAY(cr_out_date)&gt;DAY($B62)))&gt;0)*(MOD((YEAR($B62)-YEAR(cr_out_date))*12+MONTH($B62)-MONTH(cr_out_date),3)=0)))&gt;0,cr_out_name,"")),"")</f>
        <v/>
      </c>
      <c r="D62" s="49">
        <f>SUMPRODUCT(cr_in_amt*(cr_in_date&gt;0)*(cr_in_date&lt;=$B62)*(((cr_in_rep="Once")+(cr_in_rep=""))*(cr_in_date=$B62)+(cr_in_rep="Every day")+(cr_in_rep="Weekly")*(MOD($B62-cr_in_date,7)=0)+(cr_in_rep="Every 2 weeks")*(MOD($B62-cr_in_date,14)=0)+(cr_in_rep="Monthly")*(((DAY(cr_in_date)=DAY($B62))+(DAY($B62)=DAY(EOMONTH($B62,0)))*(DAY(cr_in_date)&gt;DAY($B62)))&gt;0)+(cr_in_rep="Quarterly")*(((DAY(cr_in_date)=DAY($B62))+(DAY($B62)=DAY(EOMONTH($B62,0)))*(DAY(cr_in_date)&gt;DAY($B62)))&gt;0)*(MOD((YEAR($B62)-YEAR(cr_in_date))*12+MONTH($B62)-MONTH(cr_in_date),3)=0)))</f>
        <v>0.0</v>
      </c>
      <c r="E62" s="49">
        <f>SUMPRODUCT(cr_out_amt*(cr_out_date&gt;0)*(cr_out_date&lt;=$B62)*(((cr_out_rep="Once")+(cr_out_rep=""))*(cr_out_date=$B62)+(cr_out_rep="Every day")+(cr_out_rep="Weekly")*(MOD($B62-cr_out_date,7)=0)+(cr_out_rep="Every 2 weeks")*(MOD($B62-cr_out_date,14)=0)+(cr_out_rep="Monthly")*(((DAY(cr_out_date)=DAY($B62))+(DAY($B62)=DAY(EOMONTH($B62,0)))*(DAY(cr_out_date)&gt;DAY($B62)))&gt;0)+(cr_out_rep="Quarterly")*(((DAY(cr_out_date)=DAY($B62))+(DAY($B62)=DAY(EOMONTH($B62,0)))*(DAY(cr_out_date)&gt;DAY($B62)))&gt;0)*(MOD((YEAR($B62)-YEAR(cr_out_date))*12+MONTH($B62)-MONTH(cr_out_date),3)=0)))</f>
        <v>0.0</v>
      </c>
      <c r="F62" s="38">
        <f>F61+D62-E62</f>
        <v>11120.0</v>
      </c>
      <c r="G62" s="39">
        <f>F62-cr_floor</f>
        <v>6120.0</v>
      </c>
      <c r="H62" s="40">
        <f>F62-cr_big_amt*($B62&gt;=cr_big_date)*($B62&lt;cr_big_date+cr_late)</f>
        <v>11120.0</v>
      </c>
    </row>
    <row r="63" spans="2:8" s="1" customFormat="1">
      <c r="B63" s="41">
        <f>B62+1</f>
        <v>46384.0</v>
      </c>
      <c r="C63" s="42" t="str">
        <f t="array" ref="C63">IFERROR(_xlfn.TEXTJOIN("  ·  ",TRUE,IF((cr_in_amt&gt;0)*((cr_in_date&gt;0)*(cr_in_date&lt;=$B63)*(((cr_in_rep="Once")+(cr_in_rep=""))*(cr_in_date=$B63)+(cr_in_rep="Every day")+(cr_in_rep="Weekly")*(MOD($B63-cr_in_date,7)=0)+(cr_in_rep="Every 2 weeks")*(MOD($B63-cr_in_date,14)=0)+(cr_in_rep="Monthly")*(((DAY(cr_in_date)=DAY($B63))+(DAY($B63)=DAY(EOMONTH($B63,0)))*(DAY(cr_in_date)&gt;DAY($B63)))&gt;0)+(cr_in_rep="Quarterly")*(((DAY(cr_in_date)=DAY($B63))+(DAY($B63)=DAY(EOMONTH($B63,0)))*(DAY(cr_in_date)&gt;DAY($B63)))&gt;0)*(MOD((YEAR($B63)-YEAR(cr_in_date))*12+MONTH($B63)-MONTH(cr_in_date),3)=0)))&gt;0,"+ "&amp;cr_in_name,""),IF((cr_out_amt&gt;0)*((cr_out_date&gt;0)*(cr_out_date&lt;=$B63)*(((cr_out_rep="Once")+(cr_out_rep=""))*(cr_out_date=$B63)+(cr_out_rep="Every day")+(cr_out_rep="Weekly")*(MOD($B63-cr_out_date,7)=0)+(cr_out_rep="Every 2 weeks")*(MOD($B63-cr_out_date,14)=0)+(cr_out_rep="Monthly")*(((DAY(cr_out_date)=DAY($B63))+(DAY($B63)=DAY(EOMONTH($B63,0)))*(DAY(cr_out_date)&gt;DAY($B63)))&gt;0)+(cr_out_rep="Quarterly")*(((DAY(cr_out_date)=DAY($B63))+(DAY($B63)=DAY(EOMONTH($B63,0)))*(DAY(cr_out_date)&gt;DAY($B63)))&gt;0)*(MOD((YEAR($B63)-YEAR(cr_out_date))*12+MONTH($B63)-MONTH(cr_out_date),3)=0)))&gt;0,cr_out_name,"")),"")</f>
        <v/>
      </c>
      <c r="D63" s="43">
        <f>SUMPRODUCT(cr_in_amt*(cr_in_date&gt;0)*(cr_in_date&lt;=$B63)*(((cr_in_rep="Once")+(cr_in_rep=""))*(cr_in_date=$B63)+(cr_in_rep="Every day")+(cr_in_rep="Weekly")*(MOD($B63-cr_in_date,7)=0)+(cr_in_rep="Every 2 weeks")*(MOD($B63-cr_in_date,14)=0)+(cr_in_rep="Monthly")*(((DAY(cr_in_date)=DAY($B63))+(DAY($B63)=DAY(EOMONTH($B63,0)))*(DAY(cr_in_date)&gt;DAY($B63)))&gt;0)+(cr_in_rep="Quarterly")*(((DAY(cr_in_date)=DAY($B63))+(DAY($B63)=DAY(EOMONTH($B63,0)))*(DAY(cr_in_date)&gt;DAY($B63)))&gt;0)*(MOD((YEAR($B63)-YEAR(cr_in_date))*12+MONTH($B63)-MONTH(cr_in_date),3)=0)))</f>
        <v>0.0</v>
      </c>
      <c r="E63" s="43">
        <f>SUMPRODUCT(cr_out_amt*(cr_out_date&gt;0)*(cr_out_date&lt;=$B63)*(((cr_out_rep="Once")+(cr_out_rep=""))*(cr_out_date=$B63)+(cr_out_rep="Every day")+(cr_out_rep="Weekly")*(MOD($B63-cr_out_date,7)=0)+(cr_out_rep="Every 2 weeks")*(MOD($B63-cr_out_date,14)=0)+(cr_out_rep="Monthly")*(((DAY(cr_out_date)=DAY($B63))+(DAY($B63)=DAY(EOMONTH($B63,0)))*(DAY(cr_out_date)&gt;DAY($B63)))&gt;0)+(cr_out_rep="Quarterly")*(((DAY(cr_out_date)=DAY($B63))+(DAY($B63)=DAY(EOMONTH($B63,0)))*(DAY(cr_out_date)&gt;DAY($B63)))&gt;0)*(MOD((YEAR($B63)-YEAR(cr_out_date))*12+MONTH($B63)-MONTH(cr_out_date),3)=0)))</f>
        <v>0.0</v>
      </c>
      <c r="F63" s="44">
        <f>F62+D63-E63</f>
        <v>11120.0</v>
      </c>
      <c r="G63" s="45">
        <f>F63-cr_floor</f>
        <v>6120.0</v>
      </c>
      <c r="H63" s="46">
        <f>F63-cr_big_amt*($B63&gt;=cr_big_date)*($B63&lt;cr_big_date+cr_late)</f>
        <v>11120.0</v>
      </c>
    </row>
    <row r="64" spans="2:8" s="1" customFormat="1">
      <c r="B64" s="41">
        <f>B63+1</f>
        <v>46385.0</v>
      </c>
      <c r="C64" s="42" t="str">
        <f t="array" ref="C64">IFERROR(_xlfn.TEXTJOIN("  ·  ",TRUE,IF((cr_in_amt&gt;0)*((cr_in_date&gt;0)*(cr_in_date&lt;=$B64)*(((cr_in_rep="Once")+(cr_in_rep=""))*(cr_in_date=$B64)+(cr_in_rep="Every day")+(cr_in_rep="Weekly")*(MOD($B64-cr_in_date,7)=0)+(cr_in_rep="Every 2 weeks")*(MOD($B64-cr_in_date,14)=0)+(cr_in_rep="Monthly")*(((DAY(cr_in_date)=DAY($B64))+(DAY($B64)=DAY(EOMONTH($B64,0)))*(DAY(cr_in_date)&gt;DAY($B64)))&gt;0)+(cr_in_rep="Quarterly")*(((DAY(cr_in_date)=DAY($B64))+(DAY($B64)=DAY(EOMONTH($B64,0)))*(DAY(cr_in_date)&gt;DAY($B64)))&gt;0)*(MOD((YEAR($B64)-YEAR(cr_in_date))*12+MONTH($B64)-MONTH(cr_in_date),3)=0)))&gt;0,"+ "&amp;cr_in_name,""),IF((cr_out_amt&gt;0)*((cr_out_date&gt;0)*(cr_out_date&lt;=$B64)*(((cr_out_rep="Once")+(cr_out_rep=""))*(cr_out_date=$B64)+(cr_out_rep="Every day")+(cr_out_rep="Weekly")*(MOD($B64-cr_out_date,7)=0)+(cr_out_rep="Every 2 weeks")*(MOD($B64-cr_out_date,14)=0)+(cr_out_rep="Monthly")*(((DAY(cr_out_date)=DAY($B64))+(DAY($B64)=DAY(EOMONTH($B64,0)))*(DAY(cr_out_date)&gt;DAY($B64)))&gt;0)+(cr_out_rep="Quarterly")*(((DAY(cr_out_date)=DAY($B64))+(DAY($B64)=DAY(EOMONTH($B64,0)))*(DAY(cr_out_date)&gt;DAY($B64)))&gt;0)*(MOD((YEAR($B64)-YEAR(cr_out_date))*12+MONTH($B64)-MONTH(cr_out_date),3)=0)))&gt;0,cr_out_name,"")),"")</f>
        <v/>
      </c>
      <c r="D64" s="43">
        <f>SUMPRODUCT(cr_in_amt*(cr_in_date&gt;0)*(cr_in_date&lt;=$B64)*(((cr_in_rep="Once")+(cr_in_rep=""))*(cr_in_date=$B64)+(cr_in_rep="Every day")+(cr_in_rep="Weekly")*(MOD($B64-cr_in_date,7)=0)+(cr_in_rep="Every 2 weeks")*(MOD($B64-cr_in_date,14)=0)+(cr_in_rep="Monthly")*(((DAY(cr_in_date)=DAY($B64))+(DAY($B64)=DAY(EOMONTH($B64,0)))*(DAY(cr_in_date)&gt;DAY($B64)))&gt;0)+(cr_in_rep="Quarterly")*(((DAY(cr_in_date)=DAY($B64))+(DAY($B64)=DAY(EOMONTH($B64,0)))*(DAY(cr_in_date)&gt;DAY($B64)))&gt;0)*(MOD((YEAR($B64)-YEAR(cr_in_date))*12+MONTH($B64)-MONTH(cr_in_date),3)=0)))</f>
        <v>0.0</v>
      </c>
      <c r="E64" s="43">
        <f>SUMPRODUCT(cr_out_amt*(cr_out_date&gt;0)*(cr_out_date&lt;=$B64)*(((cr_out_rep="Once")+(cr_out_rep=""))*(cr_out_date=$B64)+(cr_out_rep="Every day")+(cr_out_rep="Weekly")*(MOD($B64-cr_out_date,7)=0)+(cr_out_rep="Every 2 weeks")*(MOD($B64-cr_out_date,14)=0)+(cr_out_rep="Monthly")*(((DAY(cr_out_date)=DAY($B64))+(DAY($B64)=DAY(EOMONTH($B64,0)))*(DAY(cr_out_date)&gt;DAY($B64)))&gt;0)+(cr_out_rep="Quarterly")*(((DAY(cr_out_date)=DAY($B64))+(DAY($B64)=DAY(EOMONTH($B64,0)))*(DAY(cr_out_date)&gt;DAY($B64)))&gt;0)*(MOD((YEAR($B64)-YEAR(cr_out_date))*12+MONTH($B64)-MONTH(cr_out_date),3)=0)))</f>
        <v>0.0</v>
      </c>
      <c r="F64" s="44">
        <f>F63+D64-E64</f>
        <v>11120.0</v>
      </c>
      <c r="G64" s="45">
        <f>F64-cr_floor</f>
        <v>6120.0</v>
      </c>
      <c r="H64" s="46">
        <f>F64-cr_big_amt*($B64&gt;=cr_big_date)*($B64&lt;cr_big_date+cr_late)</f>
        <v>11120.0</v>
      </c>
    </row>
    <row r="65" spans="2:8" s="1" customFormat="1">
      <c r="B65" s="41">
        <f>B64+1</f>
        <v>46386.0</v>
      </c>
      <c r="C65" s="42" t="str">
        <f t="array" ref="C65">IFERROR(_xlfn.TEXTJOIN("  ·  ",TRUE,IF((cr_in_amt&gt;0)*((cr_in_date&gt;0)*(cr_in_date&lt;=$B65)*(((cr_in_rep="Once")+(cr_in_rep=""))*(cr_in_date=$B65)+(cr_in_rep="Every day")+(cr_in_rep="Weekly")*(MOD($B65-cr_in_date,7)=0)+(cr_in_rep="Every 2 weeks")*(MOD($B65-cr_in_date,14)=0)+(cr_in_rep="Monthly")*(((DAY(cr_in_date)=DAY($B65))+(DAY($B65)=DAY(EOMONTH($B65,0)))*(DAY(cr_in_date)&gt;DAY($B65)))&gt;0)+(cr_in_rep="Quarterly")*(((DAY(cr_in_date)=DAY($B65))+(DAY($B65)=DAY(EOMONTH($B65,0)))*(DAY(cr_in_date)&gt;DAY($B65)))&gt;0)*(MOD((YEAR($B65)-YEAR(cr_in_date))*12+MONTH($B65)-MONTH(cr_in_date),3)=0)))&gt;0,"+ "&amp;cr_in_name,""),IF((cr_out_amt&gt;0)*((cr_out_date&gt;0)*(cr_out_date&lt;=$B65)*(((cr_out_rep="Once")+(cr_out_rep=""))*(cr_out_date=$B65)+(cr_out_rep="Every day")+(cr_out_rep="Weekly")*(MOD($B65-cr_out_date,7)=0)+(cr_out_rep="Every 2 weeks")*(MOD($B65-cr_out_date,14)=0)+(cr_out_rep="Monthly")*(((DAY(cr_out_date)=DAY($B65))+(DAY($B65)=DAY(EOMONTH($B65,0)))*(DAY(cr_out_date)&gt;DAY($B65)))&gt;0)+(cr_out_rep="Quarterly")*(((DAY(cr_out_date)=DAY($B65))+(DAY($B65)=DAY(EOMONTH($B65,0)))*(DAY(cr_out_date)&gt;DAY($B65)))&gt;0)*(MOD((YEAR($B65)-YEAR(cr_out_date))*12+MONTH($B65)-MONTH(cr_out_date),3)=0)))&gt;0,cr_out_name,"")),"")</f>
        <v/>
      </c>
      <c r="D65" s="43">
        <f>SUMPRODUCT(cr_in_amt*(cr_in_date&gt;0)*(cr_in_date&lt;=$B65)*(((cr_in_rep="Once")+(cr_in_rep=""))*(cr_in_date=$B65)+(cr_in_rep="Every day")+(cr_in_rep="Weekly")*(MOD($B65-cr_in_date,7)=0)+(cr_in_rep="Every 2 weeks")*(MOD($B65-cr_in_date,14)=0)+(cr_in_rep="Monthly")*(((DAY(cr_in_date)=DAY($B65))+(DAY($B65)=DAY(EOMONTH($B65,0)))*(DAY(cr_in_date)&gt;DAY($B65)))&gt;0)+(cr_in_rep="Quarterly")*(((DAY(cr_in_date)=DAY($B65))+(DAY($B65)=DAY(EOMONTH($B65,0)))*(DAY(cr_in_date)&gt;DAY($B65)))&gt;0)*(MOD((YEAR($B65)-YEAR(cr_in_date))*12+MONTH($B65)-MONTH(cr_in_date),3)=0)))</f>
        <v>0.0</v>
      </c>
      <c r="E65" s="43">
        <f>SUMPRODUCT(cr_out_amt*(cr_out_date&gt;0)*(cr_out_date&lt;=$B65)*(((cr_out_rep="Once")+(cr_out_rep=""))*(cr_out_date=$B65)+(cr_out_rep="Every day")+(cr_out_rep="Weekly")*(MOD($B65-cr_out_date,7)=0)+(cr_out_rep="Every 2 weeks")*(MOD($B65-cr_out_date,14)=0)+(cr_out_rep="Monthly")*(((DAY(cr_out_date)=DAY($B65))+(DAY($B65)=DAY(EOMONTH($B65,0)))*(DAY(cr_out_date)&gt;DAY($B65)))&gt;0)+(cr_out_rep="Quarterly")*(((DAY(cr_out_date)=DAY($B65))+(DAY($B65)=DAY(EOMONTH($B65,0)))*(DAY(cr_out_date)&gt;DAY($B65)))&gt;0)*(MOD((YEAR($B65)-YEAR(cr_out_date))*12+MONTH($B65)-MONTH(cr_out_date),3)=0)))</f>
        <v>0.0</v>
      </c>
      <c r="F65" s="44">
        <f>F64+D65-E65</f>
        <v>11120.0</v>
      </c>
      <c r="G65" s="45">
        <f>F65-cr_floor</f>
        <v>6120.0</v>
      </c>
      <c r="H65" s="46">
        <f>F65-cr_big_amt*($B65&gt;=cr_big_date)*($B65&lt;cr_big_date+cr_late)</f>
        <v>11120.0</v>
      </c>
    </row>
    <row r="66" spans="2:8" s="1" customFormat="1">
      <c r="B66" s="41">
        <f>B65+1</f>
        <v>46387.0</v>
      </c>
      <c r="C66" s="42" t="str">
        <f t="array" ref="C66">IFERROR(_xlfn.TEXTJOIN("  ·  ",TRUE,IF((cr_in_amt&gt;0)*((cr_in_date&gt;0)*(cr_in_date&lt;=$B66)*(((cr_in_rep="Once")+(cr_in_rep=""))*(cr_in_date=$B66)+(cr_in_rep="Every day")+(cr_in_rep="Weekly")*(MOD($B66-cr_in_date,7)=0)+(cr_in_rep="Every 2 weeks")*(MOD($B66-cr_in_date,14)=0)+(cr_in_rep="Monthly")*(((DAY(cr_in_date)=DAY($B66))+(DAY($B66)=DAY(EOMONTH($B66,0)))*(DAY(cr_in_date)&gt;DAY($B66)))&gt;0)+(cr_in_rep="Quarterly")*(((DAY(cr_in_date)=DAY($B66))+(DAY($B66)=DAY(EOMONTH($B66,0)))*(DAY(cr_in_date)&gt;DAY($B66)))&gt;0)*(MOD((YEAR($B66)-YEAR(cr_in_date))*12+MONTH($B66)-MONTH(cr_in_date),3)=0)))&gt;0,"+ "&amp;cr_in_name,""),IF((cr_out_amt&gt;0)*((cr_out_date&gt;0)*(cr_out_date&lt;=$B66)*(((cr_out_rep="Once")+(cr_out_rep=""))*(cr_out_date=$B66)+(cr_out_rep="Every day")+(cr_out_rep="Weekly")*(MOD($B66-cr_out_date,7)=0)+(cr_out_rep="Every 2 weeks")*(MOD($B66-cr_out_date,14)=0)+(cr_out_rep="Monthly")*(((DAY(cr_out_date)=DAY($B66))+(DAY($B66)=DAY(EOMONTH($B66,0)))*(DAY(cr_out_date)&gt;DAY($B66)))&gt;0)+(cr_out_rep="Quarterly")*(((DAY(cr_out_date)=DAY($B66))+(DAY($B66)=DAY(EOMONTH($B66,0)))*(DAY(cr_out_date)&gt;DAY($B66)))&gt;0)*(MOD((YEAR($B66)-YEAR(cr_out_date))*12+MONTH($B66)-MONTH(cr_out_date),3)=0)))&gt;0,cr_out_name,"")),"")</f>
        <v/>
      </c>
      <c r="D66" s="43">
        <f>SUMPRODUCT(cr_in_amt*(cr_in_date&gt;0)*(cr_in_date&lt;=$B66)*(((cr_in_rep="Once")+(cr_in_rep=""))*(cr_in_date=$B66)+(cr_in_rep="Every day")+(cr_in_rep="Weekly")*(MOD($B66-cr_in_date,7)=0)+(cr_in_rep="Every 2 weeks")*(MOD($B66-cr_in_date,14)=0)+(cr_in_rep="Monthly")*(((DAY(cr_in_date)=DAY($B66))+(DAY($B66)=DAY(EOMONTH($B66,0)))*(DAY(cr_in_date)&gt;DAY($B66)))&gt;0)+(cr_in_rep="Quarterly")*(((DAY(cr_in_date)=DAY($B66))+(DAY($B66)=DAY(EOMONTH($B66,0)))*(DAY(cr_in_date)&gt;DAY($B66)))&gt;0)*(MOD((YEAR($B66)-YEAR(cr_in_date))*12+MONTH($B66)-MONTH(cr_in_date),3)=0)))</f>
        <v>0.0</v>
      </c>
      <c r="E66" s="43">
        <f>SUMPRODUCT(cr_out_amt*(cr_out_date&gt;0)*(cr_out_date&lt;=$B66)*(((cr_out_rep="Once")+(cr_out_rep=""))*(cr_out_date=$B66)+(cr_out_rep="Every day")+(cr_out_rep="Weekly")*(MOD($B66-cr_out_date,7)=0)+(cr_out_rep="Every 2 weeks")*(MOD($B66-cr_out_date,14)=0)+(cr_out_rep="Monthly")*(((DAY(cr_out_date)=DAY($B66))+(DAY($B66)=DAY(EOMONTH($B66,0)))*(DAY(cr_out_date)&gt;DAY($B66)))&gt;0)+(cr_out_rep="Quarterly")*(((DAY(cr_out_date)=DAY($B66))+(DAY($B66)=DAY(EOMONTH($B66,0)))*(DAY(cr_out_date)&gt;DAY($B66)))&gt;0)*(MOD((YEAR($B66)-YEAR(cr_out_date))*12+MONTH($B66)-MONTH(cr_out_date),3)=0)))</f>
        <v>0.0</v>
      </c>
      <c r="F66" s="44">
        <f>F65+D66-E66</f>
        <v>11120.0</v>
      </c>
      <c r="G66" s="45">
        <f>F66-cr_floor</f>
        <v>6120.0</v>
      </c>
      <c r="H66" s="46">
        <f>F66-cr_big_amt*($B66&gt;=cr_big_date)*($B66&lt;cr_big_date+cr_late)</f>
        <v>11120.0</v>
      </c>
    </row>
    <row r="67" spans="2:8" s="1" customFormat="1">
      <c r="B67" s="41">
        <f>B66+1</f>
        <v>46388.0</v>
      </c>
      <c r="C67" s="42" t="str">
        <f t="array" ref="C67">IFERROR(_xlfn.TEXTJOIN("  ·  ",TRUE,IF((cr_in_amt&gt;0)*((cr_in_date&gt;0)*(cr_in_date&lt;=$B67)*(((cr_in_rep="Once")+(cr_in_rep=""))*(cr_in_date=$B67)+(cr_in_rep="Every day")+(cr_in_rep="Weekly")*(MOD($B67-cr_in_date,7)=0)+(cr_in_rep="Every 2 weeks")*(MOD($B67-cr_in_date,14)=0)+(cr_in_rep="Monthly")*(((DAY(cr_in_date)=DAY($B67))+(DAY($B67)=DAY(EOMONTH($B67,0)))*(DAY(cr_in_date)&gt;DAY($B67)))&gt;0)+(cr_in_rep="Quarterly")*(((DAY(cr_in_date)=DAY($B67))+(DAY($B67)=DAY(EOMONTH($B67,0)))*(DAY(cr_in_date)&gt;DAY($B67)))&gt;0)*(MOD((YEAR($B67)-YEAR(cr_in_date))*12+MONTH($B67)-MONTH(cr_in_date),3)=0)))&gt;0,"+ "&amp;cr_in_name,""),IF((cr_out_amt&gt;0)*((cr_out_date&gt;0)*(cr_out_date&lt;=$B67)*(((cr_out_rep="Once")+(cr_out_rep=""))*(cr_out_date=$B67)+(cr_out_rep="Every day")+(cr_out_rep="Weekly")*(MOD($B67-cr_out_date,7)=0)+(cr_out_rep="Every 2 weeks")*(MOD($B67-cr_out_date,14)=0)+(cr_out_rep="Monthly")*(((DAY(cr_out_date)=DAY($B67))+(DAY($B67)=DAY(EOMONTH($B67,0)))*(DAY(cr_out_date)&gt;DAY($B67)))&gt;0)+(cr_out_rep="Quarterly")*(((DAY(cr_out_date)=DAY($B67))+(DAY($B67)=DAY(EOMONTH($B67,0)))*(DAY(cr_out_date)&gt;DAY($B67)))&gt;0)*(MOD((YEAR($B67)-YEAR(cr_out_date))*12+MONTH($B67)-MONTH(cr_out_date),3)=0)))&gt;0,cr_out_name,"")),"")</f>
        <v>+ Shop takings (typical week)  ·  Rent  ·  Wages</v>
      </c>
      <c r="D67" s="43">
        <f>SUMPRODUCT(cr_in_amt*(cr_in_date&gt;0)*(cr_in_date&lt;=$B67)*(((cr_in_rep="Once")+(cr_in_rep=""))*(cr_in_date=$B67)+(cr_in_rep="Every day")+(cr_in_rep="Weekly")*(MOD($B67-cr_in_date,7)=0)+(cr_in_rep="Every 2 weeks")*(MOD($B67-cr_in_date,14)=0)+(cr_in_rep="Monthly")*(((DAY(cr_in_date)=DAY($B67))+(DAY($B67)=DAY(EOMONTH($B67,0)))*(DAY(cr_in_date)&gt;DAY($B67)))&gt;0)+(cr_in_rep="Quarterly")*(((DAY(cr_in_date)=DAY($B67))+(DAY($B67)=DAY(EOMONTH($B67,0)))*(DAY(cr_in_date)&gt;DAY($B67)))&gt;0)*(MOD((YEAR($B67)-YEAR(cr_in_date))*12+MONTH($B67)-MONTH(cr_in_date),3)=0)))</f>
        <v>2600.0</v>
      </c>
      <c r="E67" s="43">
        <f>SUMPRODUCT(cr_out_amt*(cr_out_date&gt;0)*(cr_out_date&lt;=$B67)*(((cr_out_rep="Once")+(cr_out_rep=""))*(cr_out_date=$B67)+(cr_out_rep="Every day")+(cr_out_rep="Weekly")*(MOD($B67-cr_out_date,7)=0)+(cr_out_rep="Every 2 weeks")*(MOD($B67-cr_out_date,14)=0)+(cr_out_rep="Monthly")*(((DAY(cr_out_date)=DAY($B67))+(DAY($B67)=DAY(EOMONTH($B67,0)))*(DAY(cr_out_date)&gt;DAY($B67)))&gt;0)+(cr_out_rep="Quarterly")*(((DAY(cr_out_date)=DAY($B67))+(DAY($B67)=DAY(EOMONTH($B67,0)))*(DAY(cr_out_date)&gt;DAY($B67)))&gt;0)*(MOD((YEAR($B67)-YEAR(cr_out_date))*12+MONTH($B67)-MONTH(cr_out_date),3)=0)))</f>
        <v>7000.0</v>
      </c>
      <c r="F67" s="44">
        <f>F66+D67-E67</f>
        <v>6720.0</v>
      </c>
      <c r="G67" s="45">
        <f>F67-cr_floor</f>
        <v>1720.0</v>
      </c>
      <c r="H67" s="46">
        <f>F67-cr_big_amt*($B67&gt;=cr_big_date)*($B67&lt;cr_big_date+cr_late)</f>
        <v>6720.0</v>
      </c>
    </row>
    <row r="68" spans="2:8" s="1" customFormat="1">
      <c r="B68" s="41">
        <f>B67+1</f>
        <v>46389.0</v>
      </c>
      <c r="C68" s="42" t="str">
        <f t="array" ref="C68">IFERROR(_xlfn.TEXTJOIN("  ·  ",TRUE,IF((cr_in_amt&gt;0)*((cr_in_date&gt;0)*(cr_in_date&lt;=$B68)*(((cr_in_rep="Once")+(cr_in_rep=""))*(cr_in_date=$B68)+(cr_in_rep="Every day")+(cr_in_rep="Weekly")*(MOD($B68-cr_in_date,7)=0)+(cr_in_rep="Every 2 weeks")*(MOD($B68-cr_in_date,14)=0)+(cr_in_rep="Monthly")*(((DAY(cr_in_date)=DAY($B68))+(DAY($B68)=DAY(EOMONTH($B68,0)))*(DAY(cr_in_date)&gt;DAY($B68)))&gt;0)+(cr_in_rep="Quarterly")*(((DAY(cr_in_date)=DAY($B68))+(DAY($B68)=DAY(EOMONTH($B68,0)))*(DAY(cr_in_date)&gt;DAY($B68)))&gt;0)*(MOD((YEAR($B68)-YEAR(cr_in_date))*12+MONTH($B68)-MONTH(cr_in_date),3)=0)))&gt;0,"+ "&amp;cr_in_name,""),IF((cr_out_amt&gt;0)*((cr_out_date&gt;0)*(cr_out_date&lt;=$B68)*(((cr_out_rep="Once")+(cr_out_rep=""))*(cr_out_date=$B68)+(cr_out_rep="Every day")+(cr_out_rep="Weekly")*(MOD($B68-cr_out_date,7)=0)+(cr_out_rep="Every 2 weeks")*(MOD($B68-cr_out_date,14)=0)+(cr_out_rep="Monthly")*(((DAY(cr_out_date)=DAY($B68))+(DAY($B68)=DAY(EOMONTH($B68,0)))*(DAY(cr_out_date)&gt;DAY($B68)))&gt;0)+(cr_out_rep="Quarterly")*(((DAY(cr_out_date)=DAY($B68))+(DAY($B68)=DAY(EOMONTH($B68,0)))*(DAY(cr_out_date)&gt;DAY($B68)))&gt;0)*(MOD((YEAR($B68)-YEAR(cr_out_date))*12+MONTH($B68)-MONTH(cr_out_date),3)=0)))&gt;0,cr_out_name,"")),"")</f>
        <v/>
      </c>
      <c r="D68" s="43">
        <f>SUMPRODUCT(cr_in_amt*(cr_in_date&gt;0)*(cr_in_date&lt;=$B68)*(((cr_in_rep="Once")+(cr_in_rep=""))*(cr_in_date=$B68)+(cr_in_rep="Every day")+(cr_in_rep="Weekly")*(MOD($B68-cr_in_date,7)=0)+(cr_in_rep="Every 2 weeks")*(MOD($B68-cr_in_date,14)=0)+(cr_in_rep="Monthly")*(((DAY(cr_in_date)=DAY($B68))+(DAY($B68)=DAY(EOMONTH($B68,0)))*(DAY(cr_in_date)&gt;DAY($B68)))&gt;0)+(cr_in_rep="Quarterly")*(((DAY(cr_in_date)=DAY($B68))+(DAY($B68)=DAY(EOMONTH($B68,0)))*(DAY(cr_in_date)&gt;DAY($B68)))&gt;0)*(MOD((YEAR($B68)-YEAR(cr_in_date))*12+MONTH($B68)-MONTH(cr_in_date),3)=0)))</f>
        <v>0.0</v>
      </c>
      <c r="E68" s="43">
        <f>SUMPRODUCT(cr_out_amt*(cr_out_date&gt;0)*(cr_out_date&lt;=$B68)*(((cr_out_rep="Once")+(cr_out_rep=""))*(cr_out_date=$B68)+(cr_out_rep="Every day")+(cr_out_rep="Weekly")*(MOD($B68-cr_out_date,7)=0)+(cr_out_rep="Every 2 weeks")*(MOD($B68-cr_out_date,14)=0)+(cr_out_rep="Monthly")*(((DAY(cr_out_date)=DAY($B68))+(DAY($B68)=DAY(EOMONTH($B68,0)))*(DAY(cr_out_date)&gt;DAY($B68)))&gt;0)+(cr_out_rep="Quarterly")*(((DAY(cr_out_date)=DAY($B68))+(DAY($B68)=DAY(EOMONTH($B68,0)))*(DAY(cr_out_date)&gt;DAY($B68)))&gt;0)*(MOD((YEAR($B68)-YEAR(cr_out_date))*12+MONTH($B68)-MONTH(cr_out_date),3)=0)))</f>
        <v>0.0</v>
      </c>
      <c r="F68" s="44">
        <f>F67+D68-E68</f>
        <v>6720.0</v>
      </c>
      <c r="G68" s="45">
        <f>F68-cr_floor</f>
        <v>1720.0</v>
      </c>
      <c r="H68" s="46">
        <f>F68-cr_big_amt*($B68&gt;=cr_big_date)*($B68&lt;cr_big_date+cr_late)</f>
        <v>6720.0</v>
      </c>
    </row>
    <row r="69" spans="2:8" s="1" customFormat="1">
      <c r="B69" s="47">
        <f>B68+1</f>
        <v>46390.0</v>
      </c>
      <c r="C69" s="48" t="str">
        <f t="array" ref="C69">IFERROR(_xlfn.TEXTJOIN("  ·  ",TRUE,IF((cr_in_amt&gt;0)*((cr_in_date&gt;0)*(cr_in_date&lt;=$B69)*(((cr_in_rep="Once")+(cr_in_rep=""))*(cr_in_date=$B69)+(cr_in_rep="Every day")+(cr_in_rep="Weekly")*(MOD($B69-cr_in_date,7)=0)+(cr_in_rep="Every 2 weeks")*(MOD($B69-cr_in_date,14)=0)+(cr_in_rep="Monthly")*(((DAY(cr_in_date)=DAY($B69))+(DAY($B69)=DAY(EOMONTH($B69,0)))*(DAY(cr_in_date)&gt;DAY($B69)))&gt;0)+(cr_in_rep="Quarterly")*(((DAY(cr_in_date)=DAY($B69))+(DAY($B69)=DAY(EOMONTH($B69,0)))*(DAY(cr_in_date)&gt;DAY($B69)))&gt;0)*(MOD((YEAR($B69)-YEAR(cr_in_date))*12+MONTH($B69)-MONTH(cr_in_date),3)=0)))&gt;0,"+ "&amp;cr_in_name,""),IF((cr_out_amt&gt;0)*((cr_out_date&gt;0)*(cr_out_date&lt;=$B69)*(((cr_out_rep="Once")+(cr_out_rep=""))*(cr_out_date=$B69)+(cr_out_rep="Every day")+(cr_out_rep="Weekly")*(MOD($B69-cr_out_date,7)=0)+(cr_out_rep="Every 2 weeks")*(MOD($B69-cr_out_date,14)=0)+(cr_out_rep="Monthly")*(((DAY(cr_out_date)=DAY($B69))+(DAY($B69)=DAY(EOMONTH($B69,0)))*(DAY(cr_out_date)&gt;DAY($B69)))&gt;0)+(cr_out_rep="Quarterly")*(((DAY(cr_out_date)=DAY($B69))+(DAY($B69)=DAY(EOMONTH($B69,0)))*(DAY(cr_out_date)&gt;DAY($B69)))&gt;0)*(MOD((YEAR($B69)-YEAR(cr_out_date))*12+MONTH($B69)-MONTH(cr_out_date),3)=0)))&gt;0,cr_out_name,"")),"")</f>
        <v/>
      </c>
      <c r="D69" s="49">
        <f>SUMPRODUCT(cr_in_amt*(cr_in_date&gt;0)*(cr_in_date&lt;=$B69)*(((cr_in_rep="Once")+(cr_in_rep=""))*(cr_in_date=$B69)+(cr_in_rep="Every day")+(cr_in_rep="Weekly")*(MOD($B69-cr_in_date,7)=0)+(cr_in_rep="Every 2 weeks")*(MOD($B69-cr_in_date,14)=0)+(cr_in_rep="Monthly")*(((DAY(cr_in_date)=DAY($B69))+(DAY($B69)=DAY(EOMONTH($B69,0)))*(DAY(cr_in_date)&gt;DAY($B69)))&gt;0)+(cr_in_rep="Quarterly")*(((DAY(cr_in_date)=DAY($B69))+(DAY($B69)=DAY(EOMONTH($B69,0)))*(DAY(cr_in_date)&gt;DAY($B69)))&gt;0)*(MOD((YEAR($B69)-YEAR(cr_in_date))*12+MONTH($B69)-MONTH(cr_in_date),3)=0)))</f>
        <v>0.0</v>
      </c>
      <c r="E69" s="49">
        <f>SUMPRODUCT(cr_out_amt*(cr_out_date&gt;0)*(cr_out_date&lt;=$B69)*(((cr_out_rep="Once")+(cr_out_rep=""))*(cr_out_date=$B69)+(cr_out_rep="Every day")+(cr_out_rep="Weekly")*(MOD($B69-cr_out_date,7)=0)+(cr_out_rep="Every 2 weeks")*(MOD($B69-cr_out_date,14)=0)+(cr_out_rep="Monthly")*(((DAY(cr_out_date)=DAY($B69))+(DAY($B69)=DAY(EOMONTH($B69,0)))*(DAY(cr_out_date)&gt;DAY($B69)))&gt;0)+(cr_out_rep="Quarterly")*(((DAY(cr_out_date)=DAY($B69))+(DAY($B69)=DAY(EOMONTH($B69,0)))*(DAY(cr_out_date)&gt;DAY($B69)))&gt;0)*(MOD((YEAR($B69)-YEAR(cr_out_date))*12+MONTH($B69)-MONTH(cr_out_date),3)=0)))</f>
        <v>0.0</v>
      </c>
      <c r="F69" s="38">
        <f>F68+D69-E69</f>
        <v>6720.0</v>
      </c>
      <c r="G69" s="39">
        <f>F69-cr_floor</f>
        <v>1720.0</v>
      </c>
      <c r="H69" s="40">
        <f>F69-cr_big_amt*($B69&gt;=cr_big_date)*($B69&lt;cr_big_date+cr_late)</f>
        <v>6720.0</v>
      </c>
    </row>
    <row r="70" spans="2:8" s="1" customFormat="1">
      <c r="B70" s="41">
        <f>B69+1</f>
        <v>46391.0</v>
      </c>
      <c r="C70" s="42" t="str">
        <f t="array" ref="C70">IFERROR(_xlfn.TEXTJOIN("  ·  ",TRUE,IF((cr_in_amt&gt;0)*((cr_in_date&gt;0)*(cr_in_date&lt;=$B70)*(((cr_in_rep="Once")+(cr_in_rep=""))*(cr_in_date=$B70)+(cr_in_rep="Every day")+(cr_in_rep="Weekly")*(MOD($B70-cr_in_date,7)=0)+(cr_in_rep="Every 2 weeks")*(MOD($B70-cr_in_date,14)=0)+(cr_in_rep="Monthly")*(((DAY(cr_in_date)=DAY($B70))+(DAY($B70)=DAY(EOMONTH($B70,0)))*(DAY(cr_in_date)&gt;DAY($B70)))&gt;0)+(cr_in_rep="Quarterly")*(((DAY(cr_in_date)=DAY($B70))+(DAY($B70)=DAY(EOMONTH($B70,0)))*(DAY(cr_in_date)&gt;DAY($B70)))&gt;0)*(MOD((YEAR($B70)-YEAR(cr_in_date))*12+MONTH($B70)-MONTH(cr_in_date),3)=0)))&gt;0,"+ "&amp;cr_in_name,""),IF((cr_out_amt&gt;0)*((cr_out_date&gt;0)*(cr_out_date&lt;=$B70)*(((cr_out_rep="Once")+(cr_out_rep=""))*(cr_out_date=$B70)+(cr_out_rep="Every day")+(cr_out_rep="Weekly")*(MOD($B70-cr_out_date,7)=0)+(cr_out_rep="Every 2 weeks")*(MOD($B70-cr_out_date,14)=0)+(cr_out_rep="Monthly")*(((DAY(cr_out_date)=DAY($B70))+(DAY($B70)=DAY(EOMONTH($B70,0)))*(DAY(cr_out_date)&gt;DAY($B70)))&gt;0)+(cr_out_rep="Quarterly")*(((DAY(cr_out_date)=DAY($B70))+(DAY($B70)=DAY(EOMONTH($B70,0)))*(DAY(cr_out_date)&gt;DAY($B70)))&gt;0)*(MOD((YEAR($B70)-YEAR(cr_out_date))*12+MONTH($B70)-MONTH(cr_out_date),3)=0)))&gt;0,cr_out_name,"")),"")</f>
        <v/>
      </c>
      <c r="D70" s="43">
        <f>SUMPRODUCT(cr_in_amt*(cr_in_date&gt;0)*(cr_in_date&lt;=$B70)*(((cr_in_rep="Once")+(cr_in_rep=""))*(cr_in_date=$B70)+(cr_in_rep="Every day")+(cr_in_rep="Weekly")*(MOD($B70-cr_in_date,7)=0)+(cr_in_rep="Every 2 weeks")*(MOD($B70-cr_in_date,14)=0)+(cr_in_rep="Monthly")*(((DAY(cr_in_date)=DAY($B70))+(DAY($B70)=DAY(EOMONTH($B70,0)))*(DAY(cr_in_date)&gt;DAY($B70)))&gt;0)+(cr_in_rep="Quarterly")*(((DAY(cr_in_date)=DAY($B70))+(DAY($B70)=DAY(EOMONTH($B70,0)))*(DAY(cr_in_date)&gt;DAY($B70)))&gt;0)*(MOD((YEAR($B70)-YEAR(cr_in_date))*12+MONTH($B70)-MONTH(cr_in_date),3)=0)))</f>
        <v>0.0</v>
      </c>
      <c r="E70" s="43">
        <f>SUMPRODUCT(cr_out_amt*(cr_out_date&gt;0)*(cr_out_date&lt;=$B70)*(((cr_out_rep="Once")+(cr_out_rep=""))*(cr_out_date=$B70)+(cr_out_rep="Every day")+(cr_out_rep="Weekly")*(MOD($B70-cr_out_date,7)=0)+(cr_out_rep="Every 2 weeks")*(MOD($B70-cr_out_date,14)=0)+(cr_out_rep="Monthly")*(((DAY(cr_out_date)=DAY($B70))+(DAY($B70)=DAY(EOMONTH($B70,0)))*(DAY(cr_out_date)&gt;DAY($B70)))&gt;0)+(cr_out_rep="Quarterly")*(((DAY(cr_out_date)=DAY($B70))+(DAY($B70)=DAY(EOMONTH($B70,0)))*(DAY(cr_out_date)&gt;DAY($B70)))&gt;0)*(MOD((YEAR($B70)-YEAR(cr_out_date))*12+MONTH($B70)-MONTH(cr_out_date),3)=0)))</f>
        <v>0.0</v>
      </c>
      <c r="F70" s="44">
        <f>F69+D70-E70</f>
        <v>6720.0</v>
      </c>
      <c r="G70" s="45">
        <f>F70-cr_floor</f>
        <v>1720.0</v>
      </c>
      <c r="H70" s="46">
        <f>F70-cr_big_amt*($B70&gt;=cr_big_date)*($B70&lt;cr_big_date+cr_late)</f>
        <v>6720.0</v>
      </c>
    </row>
    <row r="71" spans="2:8" s="1" customFormat="1">
      <c r="B71" s="41">
        <f>B70+1</f>
        <v>46392.0</v>
      </c>
      <c r="C71" s="42" t="str">
        <f t="array" ref="C71">IFERROR(_xlfn.TEXTJOIN("  ·  ",TRUE,IF((cr_in_amt&gt;0)*((cr_in_date&gt;0)*(cr_in_date&lt;=$B71)*(((cr_in_rep="Once")+(cr_in_rep=""))*(cr_in_date=$B71)+(cr_in_rep="Every day")+(cr_in_rep="Weekly")*(MOD($B71-cr_in_date,7)=0)+(cr_in_rep="Every 2 weeks")*(MOD($B71-cr_in_date,14)=0)+(cr_in_rep="Monthly")*(((DAY(cr_in_date)=DAY($B71))+(DAY($B71)=DAY(EOMONTH($B71,0)))*(DAY(cr_in_date)&gt;DAY($B71)))&gt;0)+(cr_in_rep="Quarterly")*(((DAY(cr_in_date)=DAY($B71))+(DAY($B71)=DAY(EOMONTH($B71,0)))*(DAY(cr_in_date)&gt;DAY($B71)))&gt;0)*(MOD((YEAR($B71)-YEAR(cr_in_date))*12+MONTH($B71)-MONTH(cr_in_date),3)=0)))&gt;0,"+ "&amp;cr_in_name,""),IF((cr_out_amt&gt;0)*((cr_out_date&gt;0)*(cr_out_date&lt;=$B71)*(((cr_out_rep="Once")+(cr_out_rep=""))*(cr_out_date=$B71)+(cr_out_rep="Every day")+(cr_out_rep="Weekly")*(MOD($B71-cr_out_date,7)=0)+(cr_out_rep="Every 2 weeks")*(MOD($B71-cr_out_date,14)=0)+(cr_out_rep="Monthly")*(((DAY(cr_out_date)=DAY($B71))+(DAY($B71)=DAY(EOMONTH($B71,0)))*(DAY(cr_out_date)&gt;DAY($B71)))&gt;0)+(cr_out_rep="Quarterly")*(((DAY(cr_out_date)=DAY($B71))+(DAY($B71)=DAY(EOMONTH($B71,0)))*(DAY(cr_out_date)&gt;DAY($B71)))&gt;0)*(MOD((YEAR($B71)-YEAR(cr_out_date))*12+MONTH($B71)-MONTH(cr_out_date),3)=0)))&gt;0,cr_out_name,"")),"")</f>
        <v/>
      </c>
      <c r="D71" s="43">
        <f>SUMPRODUCT(cr_in_amt*(cr_in_date&gt;0)*(cr_in_date&lt;=$B71)*(((cr_in_rep="Once")+(cr_in_rep=""))*(cr_in_date=$B71)+(cr_in_rep="Every day")+(cr_in_rep="Weekly")*(MOD($B71-cr_in_date,7)=0)+(cr_in_rep="Every 2 weeks")*(MOD($B71-cr_in_date,14)=0)+(cr_in_rep="Monthly")*(((DAY(cr_in_date)=DAY($B71))+(DAY($B71)=DAY(EOMONTH($B71,0)))*(DAY(cr_in_date)&gt;DAY($B71)))&gt;0)+(cr_in_rep="Quarterly")*(((DAY(cr_in_date)=DAY($B71))+(DAY($B71)=DAY(EOMONTH($B71,0)))*(DAY(cr_in_date)&gt;DAY($B71)))&gt;0)*(MOD((YEAR($B71)-YEAR(cr_in_date))*12+MONTH($B71)-MONTH(cr_in_date),3)=0)))</f>
        <v>0.0</v>
      </c>
      <c r="E71" s="43">
        <f>SUMPRODUCT(cr_out_amt*(cr_out_date&gt;0)*(cr_out_date&lt;=$B71)*(((cr_out_rep="Once")+(cr_out_rep=""))*(cr_out_date=$B71)+(cr_out_rep="Every day")+(cr_out_rep="Weekly")*(MOD($B71-cr_out_date,7)=0)+(cr_out_rep="Every 2 weeks")*(MOD($B71-cr_out_date,14)=0)+(cr_out_rep="Monthly")*(((DAY(cr_out_date)=DAY($B71))+(DAY($B71)=DAY(EOMONTH($B71,0)))*(DAY(cr_out_date)&gt;DAY($B71)))&gt;0)+(cr_out_rep="Quarterly")*(((DAY(cr_out_date)=DAY($B71))+(DAY($B71)=DAY(EOMONTH($B71,0)))*(DAY(cr_out_date)&gt;DAY($B71)))&gt;0)*(MOD((YEAR($B71)-YEAR(cr_out_date))*12+MONTH($B71)-MONTH(cr_out_date),3)=0)))</f>
        <v>0.0</v>
      </c>
      <c r="F71" s="44">
        <f>F70+D71-E71</f>
        <v>6720.0</v>
      </c>
      <c r="G71" s="45">
        <f>F71-cr_floor</f>
        <v>1720.0</v>
      </c>
      <c r="H71" s="46">
        <f>F71-cr_big_amt*($B71&gt;=cr_big_date)*($B71&lt;cr_big_date+cr_late)</f>
        <v>6720.0</v>
      </c>
    </row>
    <row r="72" spans="2:8" s="1" customFormat="1">
      <c r="B72" s="41">
        <f>B71+1</f>
        <v>46393.0</v>
      </c>
      <c r="C72" s="42" t="str">
        <f t="array" ref="C72">IFERROR(_xlfn.TEXTJOIN("  ·  ",TRUE,IF((cr_in_amt&gt;0)*((cr_in_date&gt;0)*(cr_in_date&lt;=$B72)*(((cr_in_rep="Once")+(cr_in_rep=""))*(cr_in_date=$B72)+(cr_in_rep="Every day")+(cr_in_rep="Weekly")*(MOD($B72-cr_in_date,7)=0)+(cr_in_rep="Every 2 weeks")*(MOD($B72-cr_in_date,14)=0)+(cr_in_rep="Monthly")*(((DAY(cr_in_date)=DAY($B72))+(DAY($B72)=DAY(EOMONTH($B72,0)))*(DAY(cr_in_date)&gt;DAY($B72)))&gt;0)+(cr_in_rep="Quarterly")*(((DAY(cr_in_date)=DAY($B72))+(DAY($B72)=DAY(EOMONTH($B72,0)))*(DAY(cr_in_date)&gt;DAY($B72)))&gt;0)*(MOD((YEAR($B72)-YEAR(cr_in_date))*12+MONTH($B72)-MONTH(cr_in_date),3)=0)))&gt;0,"+ "&amp;cr_in_name,""),IF((cr_out_amt&gt;0)*((cr_out_date&gt;0)*(cr_out_date&lt;=$B72)*(((cr_out_rep="Once")+(cr_out_rep=""))*(cr_out_date=$B72)+(cr_out_rep="Every day")+(cr_out_rep="Weekly")*(MOD($B72-cr_out_date,7)=0)+(cr_out_rep="Every 2 weeks")*(MOD($B72-cr_out_date,14)=0)+(cr_out_rep="Monthly")*(((DAY(cr_out_date)=DAY($B72))+(DAY($B72)=DAY(EOMONTH($B72,0)))*(DAY(cr_out_date)&gt;DAY($B72)))&gt;0)+(cr_out_rep="Quarterly")*(((DAY(cr_out_date)=DAY($B72))+(DAY($B72)=DAY(EOMONTH($B72,0)))*(DAY(cr_out_date)&gt;DAY($B72)))&gt;0)*(MOD((YEAR($B72)-YEAR(cr_out_date))*12+MONTH($B72)-MONTH(cr_out_date),3)=0)))&gt;0,cr_out_name,"")),"")</f>
        <v/>
      </c>
      <c r="D72" s="43">
        <f>SUMPRODUCT(cr_in_amt*(cr_in_date&gt;0)*(cr_in_date&lt;=$B72)*(((cr_in_rep="Once")+(cr_in_rep=""))*(cr_in_date=$B72)+(cr_in_rep="Every day")+(cr_in_rep="Weekly")*(MOD($B72-cr_in_date,7)=0)+(cr_in_rep="Every 2 weeks")*(MOD($B72-cr_in_date,14)=0)+(cr_in_rep="Monthly")*(((DAY(cr_in_date)=DAY($B72))+(DAY($B72)=DAY(EOMONTH($B72,0)))*(DAY(cr_in_date)&gt;DAY($B72)))&gt;0)+(cr_in_rep="Quarterly")*(((DAY(cr_in_date)=DAY($B72))+(DAY($B72)=DAY(EOMONTH($B72,0)))*(DAY(cr_in_date)&gt;DAY($B72)))&gt;0)*(MOD((YEAR($B72)-YEAR(cr_in_date))*12+MONTH($B72)-MONTH(cr_in_date),3)=0)))</f>
        <v>0.0</v>
      </c>
      <c r="E72" s="43">
        <f>SUMPRODUCT(cr_out_amt*(cr_out_date&gt;0)*(cr_out_date&lt;=$B72)*(((cr_out_rep="Once")+(cr_out_rep=""))*(cr_out_date=$B72)+(cr_out_rep="Every day")+(cr_out_rep="Weekly")*(MOD($B72-cr_out_date,7)=0)+(cr_out_rep="Every 2 weeks")*(MOD($B72-cr_out_date,14)=0)+(cr_out_rep="Monthly")*(((DAY(cr_out_date)=DAY($B72))+(DAY($B72)=DAY(EOMONTH($B72,0)))*(DAY(cr_out_date)&gt;DAY($B72)))&gt;0)+(cr_out_rep="Quarterly")*(((DAY(cr_out_date)=DAY($B72))+(DAY($B72)=DAY(EOMONTH($B72,0)))*(DAY(cr_out_date)&gt;DAY($B72)))&gt;0)*(MOD((YEAR($B72)-YEAR(cr_out_date))*12+MONTH($B72)-MONTH(cr_out_date),3)=0)))</f>
        <v>0.0</v>
      </c>
      <c r="F72" s="44">
        <f>F71+D72-E72</f>
        <v>6720.0</v>
      </c>
      <c r="G72" s="45">
        <f>F72-cr_floor</f>
        <v>1720.0</v>
      </c>
      <c r="H72" s="46">
        <f>F72-cr_big_amt*($B72&gt;=cr_big_date)*($B72&lt;cr_big_date+cr_late)</f>
        <v>6720.0</v>
      </c>
    </row>
    <row r="73" spans="2:8" s="1" customFormat="1">
      <c r="B73" s="41">
        <f>B72+1</f>
        <v>46394.0</v>
      </c>
      <c r="C73" s="42" t="str">
        <f t="array" ref="C73">IFERROR(_xlfn.TEXTJOIN("  ·  ",TRUE,IF((cr_in_amt&gt;0)*((cr_in_date&gt;0)*(cr_in_date&lt;=$B73)*(((cr_in_rep="Once")+(cr_in_rep=""))*(cr_in_date=$B73)+(cr_in_rep="Every day")+(cr_in_rep="Weekly")*(MOD($B73-cr_in_date,7)=0)+(cr_in_rep="Every 2 weeks")*(MOD($B73-cr_in_date,14)=0)+(cr_in_rep="Monthly")*(((DAY(cr_in_date)=DAY($B73))+(DAY($B73)=DAY(EOMONTH($B73,0)))*(DAY(cr_in_date)&gt;DAY($B73)))&gt;0)+(cr_in_rep="Quarterly")*(((DAY(cr_in_date)=DAY($B73))+(DAY($B73)=DAY(EOMONTH($B73,0)))*(DAY(cr_in_date)&gt;DAY($B73)))&gt;0)*(MOD((YEAR($B73)-YEAR(cr_in_date))*12+MONTH($B73)-MONTH(cr_in_date),3)=0)))&gt;0,"+ "&amp;cr_in_name,""),IF((cr_out_amt&gt;0)*((cr_out_date&gt;0)*(cr_out_date&lt;=$B73)*(((cr_out_rep="Once")+(cr_out_rep=""))*(cr_out_date=$B73)+(cr_out_rep="Every day")+(cr_out_rep="Weekly")*(MOD($B73-cr_out_date,7)=0)+(cr_out_rep="Every 2 weeks")*(MOD($B73-cr_out_date,14)=0)+(cr_out_rep="Monthly")*(((DAY(cr_out_date)=DAY($B73))+(DAY($B73)=DAY(EOMONTH($B73,0)))*(DAY(cr_out_date)&gt;DAY($B73)))&gt;0)+(cr_out_rep="Quarterly")*(((DAY(cr_out_date)=DAY($B73))+(DAY($B73)=DAY(EOMONTH($B73,0)))*(DAY(cr_out_date)&gt;DAY($B73)))&gt;0)*(MOD((YEAR($B73)-YEAR(cr_out_date))*12+MONTH($B73)-MONTH(cr_out_date),3)=0)))&gt;0,cr_out_name,"")),"")</f>
        <v/>
      </c>
      <c r="D73" s="43">
        <f>SUMPRODUCT(cr_in_amt*(cr_in_date&gt;0)*(cr_in_date&lt;=$B73)*(((cr_in_rep="Once")+(cr_in_rep=""))*(cr_in_date=$B73)+(cr_in_rep="Every day")+(cr_in_rep="Weekly")*(MOD($B73-cr_in_date,7)=0)+(cr_in_rep="Every 2 weeks")*(MOD($B73-cr_in_date,14)=0)+(cr_in_rep="Monthly")*(((DAY(cr_in_date)=DAY($B73))+(DAY($B73)=DAY(EOMONTH($B73,0)))*(DAY(cr_in_date)&gt;DAY($B73)))&gt;0)+(cr_in_rep="Quarterly")*(((DAY(cr_in_date)=DAY($B73))+(DAY($B73)=DAY(EOMONTH($B73,0)))*(DAY(cr_in_date)&gt;DAY($B73)))&gt;0)*(MOD((YEAR($B73)-YEAR(cr_in_date))*12+MONTH($B73)-MONTH(cr_in_date),3)=0)))</f>
        <v>0.0</v>
      </c>
      <c r="E73" s="43">
        <f>SUMPRODUCT(cr_out_amt*(cr_out_date&gt;0)*(cr_out_date&lt;=$B73)*(((cr_out_rep="Once")+(cr_out_rep=""))*(cr_out_date=$B73)+(cr_out_rep="Every day")+(cr_out_rep="Weekly")*(MOD($B73-cr_out_date,7)=0)+(cr_out_rep="Every 2 weeks")*(MOD($B73-cr_out_date,14)=0)+(cr_out_rep="Monthly")*(((DAY(cr_out_date)=DAY($B73))+(DAY($B73)=DAY(EOMONTH($B73,0)))*(DAY(cr_out_date)&gt;DAY($B73)))&gt;0)+(cr_out_rep="Quarterly")*(((DAY(cr_out_date)=DAY($B73))+(DAY($B73)=DAY(EOMONTH($B73,0)))*(DAY(cr_out_date)&gt;DAY($B73)))&gt;0)*(MOD((YEAR($B73)-YEAR(cr_out_date))*12+MONTH($B73)-MONTH(cr_out_date),3)=0)))</f>
        <v>0.0</v>
      </c>
      <c r="F73" s="44">
        <f>F72+D73-E73</f>
        <v>6720.0</v>
      </c>
      <c r="G73" s="45">
        <f>F73-cr_floor</f>
        <v>1720.0</v>
      </c>
      <c r="H73" s="46">
        <f>F73-cr_big_amt*($B73&gt;=cr_big_date)*($B73&lt;cr_big_date+cr_late)</f>
        <v>6720.0</v>
      </c>
    </row>
    <row r="74" spans="2:8" s="1" customFormat="1">
      <c r="B74" s="41">
        <f>B73+1</f>
        <v>46395.0</v>
      </c>
      <c r="C74" s="42" t="str">
        <f t="array" ref="C74">IFERROR(_xlfn.TEXTJOIN("  ·  ",TRUE,IF((cr_in_amt&gt;0)*((cr_in_date&gt;0)*(cr_in_date&lt;=$B74)*(((cr_in_rep="Once")+(cr_in_rep=""))*(cr_in_date=$B74)+(cr_in_rep="Every day")+(cr_in_rep="Weekly")*(MOD($B74-cr_in_date,7)=0)+(cr_in_rep="Every 2 weeks")*(MOD($B74-cr_in_date,14)=0)+(cr_in_rep="Monthly")*(((DAY(cr_in_date)=DAY($B74))+(DAY($B74)=DAY(EOMONTH($B74,0)))*(DAY(cr_in_date)&gt;DAY($B74)))&gt;0)+(cr_in_rep="Quarterly")*(((DAY(cr_in_date)=DAY($B74))+(DAY($B74)=DAY(EOMONTH($B74,0)))*(DAY(cr_in_date)&gt;DAY($B74)))&gt;0)*(MOD((YEAR($B74)-YEAR(cr_in_date))*12+MONTH($B74)-MONTH(cr_in_date),3)=0)))&gt;0,"+ "&amp;cr_in_name,""),IF((cr_out_amt&gt;0)*((cr_out_date&gt;0)*(cr_out_date&lt;=$B74)*(((cr_out_rep="Once")+(cr_out_rep=""))*(cr_out_date=$B74)+(cr_out_rep="Every day")+(cr_out_rep="Weekly")*(MOD($B74-cr_out_date,7)=0)+(cr_out_rep="Every 2 weeks")*(MOD($B74-cr_out_date,14)=0)+(cr_out_rep="Monthly")*(((DAY(cr_out_date)=DAY($B74))+(DAY($B74)=DAY(EOMONTH($B74,0)))*(DAY(cr_out_date)&gt;DAY($B74)))&gt;0)+(cr_out_rep="Quarterly")*(((DAY(cr_out_date)=DAY($B74))+(DAY($B74)=DAY(EOMONTH($B74,0)))*(DAY(cr_out_date)&gt;DAY($B74)))&gt;0)*(MOD((YEAR($B74)-YEAR(cr_out_date))*12+MONTH($B74)-MONTH(cr_out_date),3)=0)))&gt;0,cr_out_name,"")),"")</f>
        <v>+ Shop takings (typical week)</v>
      </c>
      <c r="D74" s="43">
        <f>SUMPRODUCT(cr_in_amt*(cr_in_date&gt;0)*(cr_in_date&lt;=$B74)*(((cr_in_rep="Once")+(cr_in_rep=""))*(cr_in_date=$B74)+(cr_in_rep="Every day")+(cr_in_rep="Weekly")*(MOD($B74-cr_in_date,7)=0)+(cr_in_rep="Every 2 weeks")*(MOD($B74-cr_in_date,14)=0)+(cr_in_rep="Monthly")*(((DAY(cr_in_date)=DAY($B74))+(DAY($B74)=DAY(EOMONTH($B74,0)))*(DAY(cr_in_date)&gt;DAY($B74)))&gt;0)+(cr_in_rep="Quarterly")*(((DAY(cr_in_date)=DAY($B74))+(DAY($B74)=DAY(EOMONTH($B74,0)))*(DAY(cr_in_date)&gt;DAY($B74)))&gt;0)*(MOD((YEAR($B74)-YEAR(cr_in_date))*12+MONTH($B74)-MONTH(cr_in_date),3)=0)))</f>
        <v>2600.0</v>
      </c>
      <c r="E74" s="43">
        <f>SUMPRODUCT(cr_out_amt*(cr_out_date&gt;0)*(cr_out_date&lt;=$B74)*(((cr_out_rep="Once")+(cr_out_rep=""))*(cr_out_date=$B74)+(cr_out_rep="Every day")+(cr_out_rep="Weekly")*(MOD($B74-cr_out_date,7)=0)+(cr_out_rep="Every 2 weeks")*(MOD($B74-cr_out_date,14)=0)+(cr_out_rep="Monthly")*(((DAY(cr_out_date)=DAY($B74))+(DAY($B74)=DAY(EOMONTH($B74,0)))*(DAY(cr_out_date)&gt;DAY($B74)))&gt;0)+(cr_out_rep="Quarterly")*(((DAY(cr_out_date)=DAY($B74))+(DAY($B74)=DAY(EOMONTH($B74,0)))*(DAY(cr_out_date)&gt;DAY($B74)))&gt;0)*(MOD((YEAR($B74)-YEAR(cr_out_date))*12+MONTH($B74)-MONTH(cr_out_date),3)=0)))</f>
        <v>0.0</v>
      </c>
      <c r="F74" s="44">
        <f>F73+D74-E74</f>
        <v>9320.0</v>
      </c>
      <c r="G74" s="45">
        <f>F74-cr_floor</f>
        <v>4320.0</v>
      </c>
      <c r="H74" s="46">
        <f>F74-cr_big_amt*($B74&gt;=cr_big_date)*($B74&lt;cr_big_date+cr_late)</f>
        <v>9320.0</v>
      </c>
    </row>
    <row r="75" spans="2:8" s="1" customFormat="1">
      <c r="B75" s="41">
        <f>B74+1</f>
        <v>46396.0</v>
      </c>
      <c r="C75" s="42" t="str">
        <f t="array" ref="C75">IFERROR(_xlfn.TEXTJOIN("  ·  ",TRUE,IF((cr_in_amt&gt;0)*((cr_in_date&gt;0)*(cr_in_date&lt;=$B75)*(((cr_in_rep="Once")+(cr_in_rep=""))*(cr_in_date=$B75)+(cr_in_rep="Every day")+(cr_in_rep="Weekly")*(MOD($B75-cr_in_date,7)=0)+(cr_in_rep="Every 2 weeks")*(MOD($B75-cr_in_date,14)=0)+(cr_in_rep="Monthly")*(((DAY(cr_in_date)=DAY($B75))+(DAY($B75)=DAY(EOMONTH($B75,0)))*(DAY(cr_in_date)&gt;DAY($B75)))&gt;0)+(cr_in_rep="Quarterly")*(((DAY(cr_in_date)=DAY($B75))+(DAY($B75)=DAY(EOMONTH($B75,0)))*(DAY(cr_in_date)&gt;DAY($B75)))&gt;0)*(MOD((YEAR($B75)-YEAR(cr_in_date))*12+MONTH($B75)-MONTH(cr_in_date),3)=0)))&gt;0,"+ "&amp;cr_in_name,""),IF((cr_out_amt&gt;0)*((cr_out_date&gt;0)*(cr_out_date&lt;=$B75)*(((cr_out_rep="Once")+(cr_out_rep=""))*(cr_out_date=$B75)+(cr_out_rep="Every day")+(cr_out_rep="Weekly")*(MOD($B75-cr_out_date,7)=0)+(cr_out_rep="Every 2 weeks")*(MOD($B75-cr_out_date,14)=0)+(cr_out_rep="Monthly")*(((DAY(cr_out_date)=DAY($B75))+(DAY($B75)=DAY(EOMONTH($B75,0)))*(DAY(cr_out_date)&gt;DAY($B75)))&gt;0)+(cr_out_rep="Quarterly")*(((DAY(cr_out_date)=DAY($B75))+(DAY($B75)=DAY(EOMONTH($B75,0)))*(DAY(cr_out_date)&gt;DAY($B75)))&gt;0)*(MOD((YEAR($B75)-YEAR(cr_out_date))*12+MONTH($B75)-MONTH(cr_out_date),3)=0)))&gt;0,cr_out_name,"")),"")</f>
        <v>Card reader and software</v>
      </c>
      <c r="D75" s="43">
        <f>SUMPRODUCT(cr_in_amt*(cr_in_date&gt;0)*(cr_in_date&lt;=$B75)*(((cr_in_rep="Once")+(cr_in_rep=""))*(cr_in_date=$B75)+(cr_in_rep="Every day")+(cr_in_rep="Weekly")*(MOD($B75-cr_in_date,7)=0)+(cr_in_rep="Every 2 weeks")*(MOD($B75-cr_in_date,14)=0)+(cr_in_rep="Monthly")*(((DAY(cr_in_date)=DAY($B75))+(DAY($B75)=DAY(EOMONTH($B75,0)))*(DAY(cr_in_date)&gt;DAY($B75)))&gt;0)+(cr_in_rep="Quarterly")*(((DAY(cr_in_date)=DAY($B75))+(DAY($B75)=DAY(EOMONTH($B75,0)))*(DAY(cr_in_date)&gt;DAY($B75)))&gt;0)*(MOD((YEAR($B75)-YEAR(cr_in_date))*12+MONTH($B75)-MONTH(cr_in_date),3)=0)))</f>
        <v>0.0</v>
      </c>
      <c r="E75" s="43">
        <f>SUMPRODUCT(cr_out_amt*(cr_out_date&gt;0)*(cr_out_date&lt;=$B75)*(((cr_out_rep="Once")+(cr_out_rep=""))*(cr_out_date=$B75)+(cr_out_rep="Every day")+(cr_out_rep="Weekly")*(MOD($B75-cr_out_date,7)=0)+(cr_out_rep="Every 2 weeks")*(MOD($B75-cr_out_date,14)=0)+(cr_out_rep="Monthly")*(((DAY(cr_out_date)=DAY($B75))+(DAY($B75)=DAY(EOMONTH($B75,0)))*(DAY(cr_out_date)&gt;DAY($B75)))&gt;0)+(cr_out_rep="Quarterly")*(((DAY(cr_out_date)=DAY($B75))+(DAY($B75)=DAY(EOMONTH($B75,0)))*(DAY(cr_out_date)&gt;DAY($B75)))&gt;0)*(MOD((YEAR($B75)-YEAR(cr_out_date))*12+MONTH($B75)-MONTH(cr_out_date),3)=0)))</f>
        <v>190.0</v>
      </c>
      <c r="F75" s="44">
        <f>F74+D75-E75</f>
        <v>9130.0</v>
      </c>
      <c r="G75" s="45">
        <f>F75-cr_floor</f>
        <v>4130.0</v>
      </c>
      <c r="H75" s="46">
        <f>F75-cr_big_amt*($B75&gt;=cr_big_date)*($B75&lt;cr_big_date+cr_late)</f>
        <v>9130.0</v>
      </c>
    </row>
    <row r="76" spans="2:8" s="1" customFormat="1">
      <c r="B76" s="47">
        <f>B75+1</f>
        <v>46397.0</v>
      </c>
      <c r="C76" s="48" t="str">
        <f t="array" ref="C76">IFERROR(_xlfn.TEXTJOIN("  ·  ",TRUE,IF((cr_in_amt&gt;0)*((cr_in_date&gt;0)*(cr_in_date&lt;=$B76)*(((cr_in_rep="Once")+(cr_in_rep=""))*(cr_in_date=$B76)+(cr_in_rep="Every day")+(cr_in_rep="Weekly")*(MOD($B76-cr_in_date,7)=0)+(cr_in_rep="Every 2 weeks")*(MOD($B76-cr_in_date,14)=0)+(cr_in_rep="Monthly")*(((DAY(cr_in_date)=DAY($B76))+(DAY($B76)=DAY(EOMONTH($B76,0)))*(DAY(cr_in_date)&gt;DAY($B76)))&gt;0)+(cr_in_rep="Quarterly")*(((DAY(cr_in_date)=DAY($B76))+(DAY($B76)=DAY(EOMONTH($B76,0)))*(DAY(cr_in_date)&gt;DAY($B76)))&gt;0)*(MOD((YEAR($B76)-YEAR(cr_in_date))*12+MONTH($B76)-MONTH(cr_in_date),3)=0)))&gt;0,"+ "&amp;cr_in_name,""),IF((cr_out_amt&gt;0)*((cr_out_date&gt;0)*(cr_out_date&lt;=$B76)*(((cr_out_rep="Once")+(cr_out_rep=""))*(cr_out_date=$B76)+(cr_out_rep="Every day")+(cr_out_rep="Weekly")*(MOD($B76-cr_out_date,7)=0)+(cr_out_rep="Every 2 weeks")*(MOD($B76-cr_out_date,14)=0)+(cr_out_rep="Monthly")*(((DAY(cr_out_date)=DAY($B76))+(DAY($B76)=DAY(EOMONTH($B76,0)))*(DAY(cr_out_date)&gt;DAY($B76)))&gt;0)+(cr_out_rep="Quarterly")*(((DAY(cr_out_date)=DAY($B76))+(DAY($B76)=DAY(EOMONTH($B76,0)))*(DAY(cr_out_date)&gt;DAY($B76)))&gt;0)*(MOD((YEAR($B76)-YEAR(cr_out_date))*12+MONTH($B76)-MONTH(cr_out_date),3)=0)))&gt;0,cr_out_name,"")),"")</f>
        <v/>
      </c>
      <c r="D76" s="49">
        <f>SUMPRODUCT(cr_in_amt*(cr_in_date&gt;0)*(cr_in_date&lt;=$B76)*(((cr_in_rep="Once")+(cr_in_rep=""))*(cr_in_date=$B76)+(cr_in_rep="Every day")+(cr_in_rep="Weekly")*(MOD($B76-cr_in_date,7)=0)+(cr_in_rep="Every 2 weeks")*(MOD($B76-cr_in_date,14)=0)+(cr_in_rep="Monthly")*(((DAY(cr_in_date)=DAY($B76))+(DAY($B76)=DAY(EOMONTH($B76,0)))*(DAY(cr_in_date)&gt;DAY($B76)))&gt;0)+(cr_in_rep="Quarterly")*(((DAY(cr_in_date)=DAY($B76))+(DAY($B76)=DAY(EOMONTH($B76,0)))*(DAY(cr_in_date)&gt;DAY($B76)))&gt;0)*(MOD((YEAR($B76)-YEAR(cr_in_date))*12+MONTH($B76)-MONTH(cr_in_date),3)=0)))</f>
        <v>0.0</v>
      </c>
      <c r="E76" s="49">
        <f>SUMPRODUCT(cr_out_amt*(cr_out_date&gt;0)*(cr_out_date&lt;=$B76)*(((cr_out_rep="Once")+(cr_out_rep=""))*(cr_out_date=$B76)+(cr_out_rep="Every day")+(cr_out_rep="Weekly")*(MOD($B76-cr_out_date,7)=0)+(cr_out_rep="Every 2 weeks")*(MOD($B76-cr_out_date,14)=0)+(cr_out_rep="Monthly")*(((DAY(cr_out_date)=DAY($B76))+(DAY($B76)=DAY(EOMONTH($B76,0)))*(DAY(cr_out_date)&gt;DAY($B76)))&gt;0)+(cr_out_rep="Quarterly")*(((DAY(cr_out_date)=DAY($B76))+(DAY($B76)=DAY(EOMONTH($B76,0)))*(DAY(cr_out_date)&gt;DAY($B76)))&gt;0)*(MOD((YEAR($B76)-YEAR(cr_out_date))*12+MONTH($B76)-MONTH(cr_out_date),3)=0)))</f>
        <v>0.0</v>
      </c>
      <c r="F76" s="38">
        <f>F75+D76-E76</f>
        <v>9130.0</v>
      </c>
      <c r="G76" s="39">
        <f>F76-cr_floor</f>
        <v>4130.0</v>
      </c>
      <c r="H76" s="40">
        <f>F76-cr_big_amt*($B76&gt;=cr_big_date)*($B76&lt;cr_big_date+cr_late)</f>
        <v>9130.0</v>
      </c>
    </row>
    <row r="77" spans="2:8" s="1" customFormat="1">
      <c r="B77" s="41">
        <f>B76+1</f>
        <v>46398.0</v>
      </c>
      <c r="C77" s="42" t="str">
        <f t="array" ref="C77">IFERROR(_xlfn.TEXTJOIN("  ·  ",TRUE,IF((cr_in_amt&gt;0)*((cr_in_date&gt;0)*(cr_in_date&lt;=$B77)*(((cr_in_rep="Once")+(cr_in_rep=""))*(cr_in_date=$B77)+(cr_in_rep="Every day")+(cr_in_rep="Weekly")*(MOD($B77-cr_in_date,7)=0)+(cr_in_rep="Every 2 weeks")*(MOD($B77-cr_in_date,14)=0)+(cr_in_rep="Monthly")*(((DAY(cr_in_date)=DAY($B77))+(DAY($B77)=DAY(EOMONTH($B77,0)))*(DAY(cr_in_date)&gt;DAY($B77)))&gt;0)+(cr_in_rep="Quarterly")*(((DAY(cr_in_date)=DAY($B77))+(DAY($B77)=DAY(EOMONTH($B77,0)))*(DAY(cr_in_date)&gt;DAY($B77)))&gt;0)*(MOD((YEAR($B77)-YEAR(cr_in_date))*12+MONTH($B77)-MONTH(cr_in_date),3)=0)))&gt;0,"+ "&amp;cr_in_name,""),IF((cr_out_amt&gt;0)*((cr_out_date&gt;0)*(cr_out_date&lt;=$B77)*(((cr_out_rep="Once")+(cr_out_rep=""))*(cr_out_date=$B77)+(cr_out_rep="Every day")+(cr_out_rep="Weekly")*(MOD($B77-cr_out_date,7)=0)+(cr_out_rep="Every 2 weeks")*(MOD($B77-cr_out_date,14)=0)+(cr_out_rep="Monthly")*(((DAY(cr_out_date)=DAY($B77))+(DAY($B77)=DAY(EOMONTH($B77,0)))*(DAY(cr_out_date)&gt;DAY($B77)))&gt;0)+(cr_out_rep="Quarterly")*(((DAY(cr_out_date)=DAY($B77))+(DAY($B77)=DAY(EOMONTH($B77,0)))*(DAY(cr_out_date)&gt;DAY($B77)))&gt;0)*(MOD((YEAR($B77)-YEAR(cr_out_date))*12+MONTH($B77)-MONTH(cr_out_date),3)=0)))&gt;0,cr_out_name,"")),"")</f>
        <v/>
      </c>
      <c r="D77" s="43">
        <f>SUMPRODUCT(cr_in_amt*(cr_in_date&gt;0)*(cr_in_date&lt;=$B77)*(((cr_in_rep="Once")+(cr_in_rep=""))*(cr_in_date=$B77)+(cr_in_rep="Every day")+(cr_in_rep="Weekly")*(MOD($B77-cr_in_date,7)=0)+(cr_in_rep="Every 2 weeks")*(MOD($B77-cr_in_date,14)=0)+(cr_in_rep="Monthly")*(((DAY(cr_in_date)=DAY($B77))+(DAY($B77)=DAY(EOMONTH($B77,0)))*(DAY(cr_in_date)&gt;DAY($B77)))&gt;0)+(cr_in_rep="Quarterly")*(((DAY(cr_in_date)=DAY($B77))+(DAY($B77)=DAY(EOMONTH($B77,0)))*(DAY(cr_in_date)&gt;DAY($B77)))&gt;0)*(MOD((YEAR($B77)-YEAR(cr_in_date))*12+MONTH($B77)-MONTH(cr_in_date),3)=0)))</f>
        <v>0.0</v>
      </c>
      <c r="E77" s="43">
        <f>SUMPRODUCT(cr_out_amt*(cr_out_date&gt;0)*(cr_out_date&lt;=$B77)*(((cr_out_rep="Once")+(cr_out_rep=""))*(cr_out_date=$B77)+(cr_out_rep="Every day")+(cr_out_rep="Weekly")*(MOD($B77-cr_out_date,7)=0)+(cr_out_rep="Every 2 weeks")*(MOD($B77-cr_out_date,14)=0)+(cr_out_rep="Monthly")*(((DAY(cr_out_date)=DAY($B77))+(DAY($B77)=DAY(EOMONTH($B77,0)))*(DAY(cr_out_date)&gt;DAY($B77)))&gt;0)+(cr_out_rep="Quarterly")*(((DAY(cr_out_date)=DAY($B77))+(DAY($B77)=DAY(EOMONTH($B77,0)))*(DAY(cr_out_date)&gt;DAY($B77)))&gt;0)*(MOD((YEAR($B77)-YEAR(cr_out_date))*12+MONTH($B77)-MONTH(cr_out_date),3)=0)))</f>
        <v>0.0</v>
      </c>
      <c r="F77" s="44">
        <f>F76+D77-E77</f>
        <v>9130.0</v>
      </c>
      <c r="G77" s="45">
        <f>F77-cr_floor</f>
        <v>4130.0</v>
      </c>
      <c r="H77" s="46">
        <f>F77-cr_big_amt*($B77&gt;=cr_big_date)*($B77&lt;cr_big_date+cr_late)</f>
        <v>9130.0</v>
      </c>
    </row>
    <row r="78" spans="2:8" s="1" customFormat="1">
      <c r="B78" s="41">
        <f>B77+1</f>
        <v>46399.0</v>
      </c>
      <c r="C78" s="42" t="str">
        <f t="array" ref="C78">IFERROR(_xlfn.TEXTJOIN("  ·  ",TRUE,IF((cr_in_amt&gt;0)*((cr_in_date&gt;0)*(cr_in_date&lt;=$B78)*(((cr_in_rep="Once")+(cr_in_rep=""))*(cr_in_date=$B78)+(cr_in_rep="Every day")+(cr_in_rep="Weekly")*(MOD($B78-cr_in_date,7)=0)+(cr_in_rep="Every 2 weeks")*(MOD($B78-cr_in_date,14)=0)+(cr_in_rep="Monthly")*(((DAY(cr_in_date)=DAY($B78))+(DAY($B78)=DAY(EOMONTH($B78,0)))*(DAY(cr_in_date)&gt;DAY($B78)))&gt;0)+(cr_in_rep="Quarterly")*(((DAY(cr_in_date)=DAY($B78))+(DAY($B78)=DAY(EOMONTH($B78,0)))*(DAY(cr_in_date)&gt;DAY($B78)))&gt;0)*(MOD((YEAR($B78)-YEAR(cr_in_date))*12+MONTH($B78)-MONTH(cr_in_date),3)=0)))&gt;0,"+ "&amp;cr_in_name,""),IF((cr_out_amt&gt;0)*((cr_out_date&gt;0)*(cr_out_date&lt;=$B78)*(((cr_out_rep="Once")+(cr_out_rep=""))*(cr_out_date=$B78)+(cr_out_rep="Every day")+(cr_out_rep="Weekly")*(MOD($B78-cr_out_date,7)=0)+(cr_out_rep="Every 2 weeks")*(MOD($B78-cr_out_date,14)=0)+(cr_out_rep="Monthly")*(((DAY(cr_out_date)=DAY($B78))+(DAY($B78)=DAY(EOMONTH($B78,0)))*(DAY(cr_out_date)&gt;DAY($B78)))&gt;0)+(cr_out_rep="Quarterly")*(((DAY(cr_out_date)=DAY($B78))+(DAY($B78)=DAY(EOMONTH($B78,0)))*(DAY(cr_out_date)&gt;DAY($B78)))&gt;0)*(MOD((YEAR($B78)-YEAR(cr_out_date))*12+MONTH($B78)-MONTH(cr_out_date),3)=0)))&gt;0,cr_out_name,"")),"")</f>
        <v/>
      </c>
      <c r="D78" s="43">
        <f>SUMPRODUCT(cr_in_amt*(cr_in_date&gt;0)*(cr_in_date&lt;=$B78)*(((cr_in_rep="Once")+(cr_in_rep=""))*(cr_in_date=$B78)+(cr_in_rep="Every day")+(cr_in_rep="Weekly")*(MOD($B78-cr_in_date,7)=0)+(cr_in_rep="Every 2 weeks")*(MOD($B78-cr_in_date,14)=0)+(cr_in_rep="Monthly")*(((DAY(cr_in_date)=DAY($B78))+(DAY($B78)=DAY(EOMONTH($B78,0)))*(DAY(cr_in_date)&gt;DAY($B78)))&gt;0)+(cr_in_rep="Quarterly")*(((DAY(cr_in_date)=DAY($B78))+(DAY($B78)=DAY(EOMONTH($B78,0)))*(DAY(cr_in_date)&gt;DAY($B78)))&gt;0)*(MOD((YEAR($B78)-YEAR(cr_in_date))*12+MONTH($B78)-MONTH(cr_in_date),3)=0)))</f>
        <v>0.0</v>
      </c>
      <c r="E78" s="43">
        <f>SUMPRODUCT(cr_out_amt*(cr_out_date&gt;0)*(cr_out_date&lt;=$B78)*(((cr_out_rep="Once")+(cr_out_rep=""))*(cr_out_date=$B78)+(cr_out_rep="Every day")+(cr_out_rep="Weekly")*(MOD($B78-cr_out_date,7)=0)+(cr_out_rep="Every 2 weeks")*(MOD($B78-cr_out_date,14)=0)+(cr_out_rep="Monthly")*(((DAY(cr_out_date)=DAY($B78))+(DAY($B78)=DAY(EOMONTH($B78,0)))*(DAY(cr_out_date)&gt;DAY($B78)))&gt;0)+(cr_out_rep="Quarterly")*(((DAY(cr_out_date)=DAY($B78))+(DAY($B78)=DAY(EOMONTH($B78,0)))*(DAY(cr_out_date)&gt;DAY($B78)))&gt;0)*(MOD((YEAR($B78)-YEAR(cr_out_date))*12+MONTH($B78)-MONTH(cr_out_date),3)=0)))</f>
        <v>0.0</v>
      </c>
      <c r="F78" s="44">
        <f>F77+D78-E78</f>
        <v>9130.0</v>
      </c>
      <c r="G78" s="45">
        <f>F78-cr_floor</f>
        <v>4130.0</v>
      </c>
      <c r="H78" s="46">
        <f>F78-cr_big_amt*($B78&gt;=cr_big_date)*($B78&lt;cr_big_date+cr_late)</f>
        <v>9130.0</v>
      </c>
    </row>
    <row r="79" spans="2:8" s="1" customFormat="1">
      <c r="B79" s="41">
        <f>B78+1</f>
        <v>46400.0</v>
      </c>
      <c r="C79" s="42" t="str">
        <f t="array" ref="C79">IFERROR(_xlfn.TEXTJOIN("  ·  ",TRUE,IF((cr_in_amt&gt;0)*((cr_in_date&gt;0)*(cr_in_date&lt;=$B79)*(((cr_in_rep="Once")+(cr_in_rep=""))*(cr_in_date=$B79)+(cr_in_rep="Every day")+(cr_in_rep="Weekly")*(MOD($B79-cr_in_date,7)=0)+(cr_in_rep="Every 2 weeks")*(MOD($B79-cr_in_date,14)=0)+(cr_in_rep="Monthly")*(((DAY(cr_in_date)=DAY($B79))+(DAY($B79)=DAY(EOMONTH($B79,0)))*(DAY(cr_in_date)&gt;DAY($B79)))&gt;0)+(cr_in_rep="Quarterly")*(((DAY(cr_in_date)=DAY($B79))+(DAY($B79)=DAY(EOMONTH($B79,0)))*(DAY(cr_in_date)&gt;DAY($B79)))&gt;0)*(MOD((YEAR($B79)-YEAR(cr_in_date))*12+MONTH($B79)-MONTH(cr_in_date),3)=0)))&gt;0,"+ "&amp;cr_in_name,""),IF((cr_out_amt&gt;0)*((cr_out_date&gt;0)*(cr_out_date&lt;=$B79)*(((cr_out_rep="Once")+(cr_out_rep=""))*(cr_out_date=$B79)+(cr_out_rep="Every day")+(cr_out_rep="Weekly")*(MOD($B79-cr_out_date,7)=0)+(cr_out_rep="Every 2 weeks")*(MOD($B79-cr_out_date,14)=0)+(cr_out_rep="Monthly")*(((DAY(cr_out_date)=DAY($B79))+(DAY($B79)=DAY(EOMONTH($B79,0)))*(DAY(cr_out_date)&gt;DAY($B79)))&gt;0)+(cr_out_rep="Quarterly")*(((DAY(cr_out_date)=DAY($B79))+(DAY($B79)=DAY(EOMONTH($B79,0)))*(DAY(cr_out_date)&gt;DAY($B79)))&gt;0)*(MOD((YEAR($B79)-YEAR(cr_out_date))*12+MONTH($B79)-MONTH(cr_out_date),3)=0)))&gt;0,cr_out_name,"")),"")</f>
        <v/>
      </c>
      <c r="D79" s="43">
        <f>SUMPRODUCT(cr_in_amt*(cr_in_date&gt;0)*(cr_in_date&lt;=$B79)*(((cr_in_rep="Once")+(cr_in_rep=""))*(cr_in_date=$B79)+(cr_in_rep="Every day")+(cr_in_rep="Weekly")*(MOD($B79-cr_in_date,7)=0)+(cr_in_rep="Every 2 weeks")*(MOD($B79-cr_in_date,14)=0)+(cr_in_rep="Monthly")*(((DAY(cr_in_date)=DAY($B79))+(DAY($B79)=DAY(EOMONTH($B79,0)))*(DAY(cr_in_date)&gt;DAY($B79)))&gt;0)+(cr_in_rep="Quarterly")*(((DAY(cr_in_date)=DAY($B79))+(DAY($B79)=DAY(EOMONTH($B79,0)))*(DAY(cr_in_date)&gt;DAY($B79)))&gt;0)*(MOD((YEAR($B79)-YEAR(cr_in_date))*12+MONTH($B79)-MONTH(cr_in_date),3)=0)))</f>
        <v>0.0</v>
      </c>
      <c r="E79" s="43">
        <f>SUMPRODUCT(cr_out_amt*(cr_out_date&gt;0)*(cr_out_date&lt;=$B79)*(((cr_out_rep="Once")+(cr_out_rep=""))*(cr_out_date=$B79)+(cr_out_rep="Every day")+(cr_out_rep="Weekly")*(MOD($B79-cr_out_date,7)=0)+(cr_out_rep="Every 2 weeks")*(MOD($B79-cr_out_date,14)=0)+(cr_out_rep="Monthly")*(((DAY(cr_out_date)=DAY($B79))+(DAY($B79)=DAY(EOMONTH($B79,0)))*(DAY(cr_out_date)&gt;DAY($B79)))&gt;0)+(cr_out_rep="Quarterly")*(((DAY(cr_out_date)=DAY($B79))+(DAY($B79)=DAY(EOMONTH($B79,0)))*(DAY(cr_out_date)&gt;DAY($B79)))&gt;0)*(MOD((YEAR($B79)-YEAR(cr_out_date))*12+MONTH($B79)-MONTH(cr_out_date),3)=0)))</f>
        <v>0.0</v>
      </c>
      <c r="F79" s="44">
        <f>F78+D79-E79</f>
        <v>9130.0</v>
      </c>
      <c r="G79" s="45">
        <f>F79-cr_floor</f>
        <v>4130.0</v>
      </c>
      <c r="H79" s="46">
        <f>F79-cr_big_amt*($B79&gt;=cr_big_date)*($B79&lt;cr_big_date+cr_late)</f>
        <v>9130.0</v>
      </c>
    </row>
    <row r="80" spans="2:8" s="1" customFormat="1">
      <c r="B80" s="41">
        <f>B79+1</f>
        <v>46401.0</v>
      </c>
      <c r="C80" s="42" t="str">
        <f t="array" ref="C80">IFERROR(_xlfn.TEXTJOIN("  ·  ",TRUE,IF((cr_in_amt&gt;0)*((cr_in_date&gt;0)*(cr_in_date&lt;=$B80)*(((cr_in_rep="Once")+(cr_in_rep=""))*(cr_in_date=$B80)+(cr_in_rep="Every day")+(cr_in_rep="Weekly")*(MOD($B80-cr_in_date,7)=0)+(cr_in_rep="Every 2 weeks")*(MOD($B80-cr_in_date,14)=0)+(cr_in_rep="Monthly")*(((DAY(cr_in_date)=DAY($B80))+(DAY($B80)=DAY(EOMONTH($B80,0)))*(DAY(cr_in_date)&gt;DAY($B80)))&gt;0)+(cr_in_rep="Quarterly")*(((DAY(cr_in_date)=DAY($B80))+(DAY($B80)=DAY(EOMONTH($B80,0)))*(DAY(cr_in_date)&gt;DAY($B80)))&gt;0)*(MOD((YEAR($B80)-YEAR(cr_in_date))*12+MONTH($B80)-MONTH(cr_in_date),3)=0)))&gt;0,"+ "&amp;cr_in_name,""),IF((cr_out_amt&gt;0)*((cr_out_date&gt;0)*(cr_out_date&lt;=$B80)*(((cr_out_rep="Once")+(cr_out_rep=""))*(cr_out_date=$B80)+(cr_out_rep="Every day")+(cr_out_rep="Weekly")*(MOD($B80-cr_out_date,7)=0)+(cr_out_rep="Every 2 weeks")*(MOD($B80-cr_out_date,14)=0)+(cr_out_rep="Monthly")*(((DAY(cr_out_date)=DAY($B80))+(DAY($B80)=DAY(EOMONTH($B80,0)))*(DAY(cr_out_date)&gt;DAY($B80)))&gt;0)+(cr_out_rep="Quarterly")*(((DAY(cr_out_date)=DAY($B80))+(DAY($B80)=DAY(EOMONTH($B80,0)))*(DAY(cr_out_date)&gt;DAY($B80)))&gt;0)*(MOD((YEAR($B80)-YEAR(cr_out_date))*12+MONTH($B80)-MONTH(cr_out_date),3)=0)))&gt;0,cr_out_name,"")),"")</f>
        <v/>
      </c>
      <c r="D80" s="43">
        <f>SUMPRODUCT(cr_in_amt*(cr_in_date&gt;0)*(cr_in_date&lt;=$B80)*(((cr_in_rep="Once")+(cr_in_rep=""))*(cr_in_date=$B80)+(cr_in_rep="Every day")+(cr_in_rep="Weekly")*(MOD($B80-cr_in_date,7)=0)+(cr_in_rep="Every 2 weeks")*(MOD($B80-cr_in_date,14)=0)+(cr_in_rep="Monthly")*(((DAY(cr_in_date)=DAY($B80))+(DAY($B80)=DAY(EOMONTH($B80,0)))*(DAY(cr_in_date)&gt;DAY($B80)))&gt;0)+(cr_in_rep="Quarterly")*(((DAY(cr_in_date)=DAY($B80))+(DAY($B80)=DAY(EOMONTH($B80,0)))*(DAY(cr_in_date)&gt;DAY($B80)))&gt;0)*(MOD((YEAR($B80)-YEAR(cr_in_date))*12+MONTH($B80)-MONTH(cr_in_date),3)=0)))</f>
        <v>0.0</v>
      </c>
      <c r="E80" s="43">
        <f>SUMPRODUCT(cr_out_amt*(cr_out_date&gt;0)*(cr_out_date&lt;=$B80)*(((cr_out_rep="Once")+(cr_out_rep=""))*(cr_out_date=$B80)+(cr_out_rep="Every day")+(cr_out_rep="Weekly")*(MOD($B80-cr_out_date,7)=0)+(cr_out_rep="Every 2 weeks")*(MOD($B80-cr_out_date,14)=0)+(cr_out_rep="Monthly")*(((DAY(cr_out_date)=DAY($B80))+(DAY($B80)=DAY(EOMONTH($B80,0)))*(DAY(cr_out_date)&gt;DAY($B80)))&gt;0)+(cr_out_rep="Quarterly")*(((DAY(cr_out_date)=DAY($B80))+(DAY($B80)=DAY(EOMONTH($B80,0)))*(DAY(cr_out_date)&gt;DAY($B80)))&gt;0)*(MOD((YEAR($B80)-YEAR(cr_out_date))*12+MONTH($B80)-MONTH(cr_out_date),3)=0)))</f>
        <v>0.0</v>
      </c>
      <c r="F80" s="44">
        <f>F79+D80-E80</f>
        <v>9130.0</v>
      </c>
      <c r="G80" s="45">
        <f>F80-cr_floor</f>
        <v>4130.0</v>
      </c>
      <c r="H80" s="46">
        <f>F80-cr_big_amt*($B80&gt;=cr_big_date)*($B80&lt;cr_big_date+cr_late)</f>
        <v>9130.0</v>
      </c>
    </row>
    <row r="81" spans="2:8" s="1" customFormat="1">
      <c r="B81" s="41">
        <f>B80+1</f>
        <v>46402.0</v>
      </c>
      <c r="C81" s="42" t="str">
        <f t="array" ref="C81">IFERROR(_xlfn.TEXTJOIN("  ·  ",TRUE,IF((cr_in_amt&gt;0)*((cr_in_date&gt;0)*(cr_in_date&lt;=$B81)*(((cr_in_rep="Once")+(cr_in_rep=""))*(cr_in_date=$B81)+(cr_in_rep="Every day")+(cr_in_rep="Weekly")*(MOD($B81-cr_in_date,7)=0)+(cr_in_rep="Every 2 weeks")*(MOD($B81-cr_in_date,14)=0)+(cr_in_rep="Monthly")*(((DAY(cr_in_date)=DAY($B81))+(DAY($B81)=DAY(EOMONTH($B81,0)))*(DAY(cr_in_date)&gt;DAY($B81)))&gt;0)+(cr_in_rep="Quarterly")*(((DAY(cr_in_date)=DAY($B81))+(DAY($B81)=DAY(EOMONTH($B81,0)))*(DAY(cr_in_date)&gt;DAY($B81)))&gt;0)*(MOD((YEAR($B81)-YEAR(cr_in_date))*12+MONTH($B81)-MONTH(cr_in_date),3)=0)))&gt;0,"+ "&amp;cr_in_name,""),IF((cr_out_amt&gt;0)*((cr_out_date&gt;0)*(cr_out_date&lt;=$B81)*(((cr_out_rep="Once")+(cr_out_rep=""))*(cr_out_date=$B81)+(cr_out_rep="Every day")+(cr_out_rep="Weekly")*(MOD($B81-cr_out_date,7)=0)+(cr_out_rep="Every 2 weeks")*(MOD($B81-cr_out_date,14)=0)+(cr_out_rep="Monthly")*(((DAY(cr_out_date)=DAY($B81))+(DAY($B81)=DAY(EOMONTH($B81,0)))*(DAY(cr_out_date)&gt;DAY($B81)))&gt;0)+(cr_out_rep="Quarterly")*(((DAY(cr_out_date)=DAY($B81))+(DAY($B81)=DAY(EOMONTH($B81,0)))*(DAY(cr_out_date)&gt;DAY($B81)))&gt;0)*(MOD((YEAR($B81)-YEAR(cr_out_date))*12+MONTH($B81)-MONTH(cr_out_date),3)=0)))&gt;0,cr_out_name,"")),"")</f>
        <v>+ Shop takings (typical week)  ·  Wages  ·  Glass supplier</v>
      </c>
      <c r="D81" s="43">
        <f>SUMPRODUCT(cr_in_amt*(cr_in_date&gt;0)*(cr_in_date&lt;=$B81)*(((cr_in_rep="Once")+(cr_in_rep=""))*(cr_in_date=$B81)+(cr_in_rep="Every day")+(cr_in_rep="Weekly")*(MOD($B81-cr_in_date,7)=0)+(cr_in_rep="Every 2 weeks")*(MOD($B81-cr_in_date,14)=0)+(cr_in_rep="Monthly")*(((DAY(cr_in_date)=DAY($B81))+(DAY($B81)=DAY(EOMONTH($B81,0)))*(DAY(cr_in_date)&gt;DAY($B81)))&gt;0)+(cr_in_rep="Quarterly")*(((DAY(cr_in_date)=DAY($B81))+(DAY($B81)=DAY(EOMONTH($B81,0)))*(DAY(cr_in_date)&gt;DAY($B81)))&gt;0)*(MOD((YEAR($B81)-YEAR(cr_in_date))*12+MONTH($B81)-MONTH(cr_in_date),3)=0)))</f>
        <v>2600.0</v>
      </c>
      <c r="E81" s="43">
        <f>SUMPRODUCT(cr_out_amt*(cr_out_date&gt;0)*(cr_out_date&lt;=$B81)*(((cr_out_rep="Once")+(cr_out_rep=""))*(cr_out_date=$B81)+(cr_out_rep="Every day")+(cr_out_rep="Weekly")*(MOD($B81-cr_out_date,7)=0)+(cr_out_rep="Every 2 weeks")*(MOD($B81-cr_out_date,14)=0)+(cr_out_rep="Monthly")*(((DAY(cr_out_date)=DAY($B81))+(DAY($B81)=DAY(EOMONTH($B81,0)))*(DAY(cr_out_date)&gt;DAY($B81)))&gt;0)+(cr_out_rep="Quarterly")*(((DAY(cr_out_date)=DAY($B81))+(DAY($B81)=DAY(EOMONTH($B81,0)))*(DAY(cr_out_date)&gt;DAY($B81)))&gt;0)*(MOD((YEAR($B81)-YEAR(cr_out_date))*12+MONTH($B81)-MONTH(cr_out_date),3)=0)))</f>
        <v>5250.0</v>
      </c>
      <c r="F81" s="44">
        <f>F80+D81-E81</f>
        <v>6480.0</v>
      </c>
      <c r="G81" s="45">
        <f>F81-cr_floor</f>
        <v>1480.0</v>
      </c>
      <c r="H81" s="46">
        <f>F81-cr_big_amt*($B81&gt;=cr_big_date)*($B81&lt;cr_big_date+cr_late)</f>
        <v>6480.0</v>
      </c>
    </row>
    <row r="82" spans="2:8" s="1" customFormat="1">
      <c r="B82" s="41">
        <f>B81+1</f>
        <v>46403.0</v>
      </c>
      <c r="C82" s="42" t="str">
        <f t="array" ref="C82">IFERROR(_xlfn.TEXTJOIN("  ·  ",TRUE,IF((cr_in_amt&gt;0)*((cr_in_date&gt;0)*(cr_in_date&lt;=$B82)*(((cr_in_rep="Once")+(cr_in_rep=""))*(cr_in_date=$B82)+(cr_in_rep="Every day")+(cr_in_rep="Weekly")*(MOD($B82-cr_in_date,7)=0)+(cr_in_rep="Every 2 weeks")*(MOD($B82-cr_in_date,14)=0)+(cr_in_rep="Monthly")*(((DAY(cr_in_date)=DAY($B82))+(DAY($B82)=DAY(EOMONTH($B82,0)))*(DAY(cr_in_date)&gt;DAY($B82)))&gt;0)+(cr_in_rep="Quarterly")*(((DAY(cr_in_date)=DAY($B82))+(DAY($B82)=DAY(EOMONTH($B82,0)))*(DAY(cr_in_date)&gt;DAY($B82)))&gt;0)*(MOD((YEAR($B82)-YEAR(cr_in_date))*12+MONTH($B82)-MONTH(cr_in_date),3)=0)))&gt;0,"+ "&amp;cr_in_name,""),IF((cr_out_amt&gt;0)*((cr_out_date&gt;0)*(cr_out_date&lt;=$B82)*(((cr_out_rep="Once")+(cr_out_rep=""))*(cr_out_date=$B82)+(cr_out_rep="Every day")+(cr_out_rep="Weekly")*(MOD($B82-cr_out_date,7)=0)+(cr_out_rep="Every 2 weeks")*(MOD($B82-cr_out_date,14)=0)+(cr_out_rep="Monthly")*(((DAY(cr_out_date)=DAY($B82))+(DAY($B82)=DAY(EOMONTH($B82,0)))*(DAY(cr_out_date)&gt;DAY($B82)))&gt;0)+(cr_out_rep="Quarterly")*(((DAY(cr_out_date)=DAY($B82))+(DAY($B82)=DAY(EOMONTH($B82,0)))*(DAY(cr_out_date)&gt;DAY($B82)))&gt;0)*(MOD((YEAR($B82)-YEAR(cr_out_date))*12+MONTH($B82)-MONTH(cr_out_date),3)=0)))&gt;0,cr_out_name,"")),"")</f>
        <v/>
      </c>
      <c r="D82" s="43">
        <f>SUMPRODUCT(cr_in_amt*(cr_in_date&gt;0)*(cr_in_date&lt;=$B82)*(((cr_in_rep="Once")+(cr_in_rep=""))*(cr_in_date=$B82)+(cr_in_rep="Every day")+(cr_in_rep="Weekly")*(MOD($B82-cr_in_date,7)=0)+(cr_in_rep="Every 2 weeks")*(MOD($B82-cr_in_date,14)=0)+(cr_in_rep="Monthly")*(((DAY(cr_in_date)=DAY($B82))+(DAY($B82)=DAY(EOMONTH($B82,0)))*(DAY(cr_in_date)&gt;DAY($B82)))&gt;0)+(cr_in_rep="Quarterly")*(((DAY(cr_in_date)=DAY($B82))+(DAY($B82)=DAY(EOMONTH($B82,0)))*(DAY(cr_in_date)&gt;DAY($B82)))&gt;0)*(MOD((YEAR($B82)-YEAR(cr_in_date))*12+MONTH($B82)-MONTH(cr_in_date),3)=0)))</f>
        <v>0.0</v>
      </c>
      <c r="E82" s="43">
        <f>SUMPRODUCT(cr_out_amt*(cr_out_date&gt;0)*(cr_out_date&lt;=$B82)*(((cr_out_rep="Once")+(cr_out_rep=""))*(cr_out_date=$B82)+(cr_out_rep="Every day")+(cr_out_rep="Weekly")*(MOD($B82-cr_out_date,7)=0)+(cr_out_rep="Every 2 weeks")*(MOD($B82-cr_out_date,14)=0)+(cr_out_rep="Monthly")*(((DAY(cr_out_date)=DAY($B82))+(DAY($B82)=DAY(EOMONTH($B82,0)))*(DAY(cr_out_date)&gt;DAY($B82)))&gt;0)+(cr_out_rep="Quarterly")*(((DAY(cr_out_date)=DAY($B82))+(DAY($B82)=DAY(EOMONTH($B82,0)))*(DAY(cr_out_date)&gt;DAY($B82)))&gt;0)*(MOD((YEAR($B82)-YEAR(cr_out_date))*12+MONTH($B82)-MONTH(cr_out_date),3)=0)))</f>
        <v>0.0</v>
      </c>
      <c r="F82" s="44">
        <f>F81+D82-E82</f>
        <v>6480.0</v>
      </c>
      <c r="G82" s="45">
        <f>F82-cr_floor</f>
        <v>1480.0</v>
      </c>
      <c r="H82" s="46">
        <f>F82-cr_big_amt*($B82&gt;=cr_big_date)*($B82&lt;cr_big_date+cr_late)</f>
        <v>6480.0</v>
      </c>
    </row>
    <row r="83" spans="2:8" s="1" customFormat="1">
      <c r="B83" s="47">
        <f>B82+1</f>
        <v>46404.0</v>
      </c>
      <c r="C83" s="48" t="str">
        <f t="array" ref="C83">IFERROR(_xlfn.TEXTJOIN("  ·  ",TRUE,IF((cr_in_amt&gt;0)*((cr_in_date&gt;0)*(cr_in_date&lt;=$B83)*(((cr_in_rep="Once")+(cr_in_rep=""))*(cr_in_date=$B83)+(cr_in_rep="Every day")+(cr_in_rep="Weekly")*(MOD($B83-cr_in_date,7)=0)+(cr_in_rep="Every 2 weeks")*(MOD($B83-cr_in_date,14)=0)+(cr_in_rep="Monthly")*(((DAY(cr_in_date)=DAY($B83))+(DAY($B83)=DAY(EOMONTH($B83,0)))*(DAY(cr_in_date)&gt;DAY($B83)))&gt;0)+(cr_in_rep="Quarterly")*(((DAY(cr_in_date)=DAY($B83))+(DAY($B83)=DAY(EOMONTH($B83,0)))*(DAY(cr_in_date)&gt;DAY($B83)))&gt;0)*(MOD((YEAR($B83)-YEAR(cr_in_date))*12+MONTH($B83)-MONTH(cr_in_date),3)=0)))&gt;0,"+ "&amp;cr_in_name,""),IF((cr_out_amt&gt;0)*((cr_out_date&gt;0)*(cr_out_date&lt;=$B83)*(((cr_out_rep="Once")+(cr_out_rep=""))*(cr_out_date=$B83)+(cr_out_rep="Every day")+(cr_out_rep="Weekly")*(MOD($B83-cr_out_date,7)=0)+(cr_out_rep="Every 2 weeks")*(MOD($B83-cr_out_date,14)=0)+(cr_out_rep="Monthly")*(((DAY(cr_out_date)=DAY($B83))+(DAY($B83)=DAY(EOMONTH($B83,0)))*(DAY(cr_out_date)&gt;DAY($B83)))&gt;0)+(cr_out_rep="Quarterly")*(((DAY(cr_out_date)=DAY($B83))+(DAY($B83)=DAY(EOMONTH($B83,0)))*(DAY(cr_out_date)&gt;DAY($B83)))&gt;0)*(MOD((YEAR($B83)-YEAR(cr_out_date))*12+MONTH($B83)-MONTH(cr_out_date),3)=0)))&gt;0,cr_out_name,"")),"")</f>
        <v/>
      </c>
      <c r="D83" s="49">
        <f>SUMPRODUCT(cr_in_amt*(cr_in_date&gt;0)*(cr_in_date&lt;=$B83)*(((cr_in_rep="Once")+(cr_in_rep=""))*(cr_in_date=$B83)+(cr_in_rep="Every day")+(cr_in_rep="Weekly")*(MOD($B83-cr_in_date,7)=0)+(cr_in_rep="Every 2 weeks")*(MOD($B83-cr_in_date,14)=0)+(cr_in_rep="Monthly")*(((DAY(cr_in_date)=DAY($B83))+(DAY($B83)=DAY(EOMONTH($B83,0)))*(DAY(cr_in_date)&gt;DAY($B83)))&gt;0)+(cr_in_rep="Quarterly")*(((DAY(cr_in_date)=DAY($B83))+(DAY($B83)=DAY(EOMONTH($B83,0)))*(DAY(cr_in_date)&gt;DAY($B83)))&gt;0)*(MOD((YEAR($B83)-YEAR(cr_in_date))*12+MONTH($B83)-MONTH(cr_in_date),3)=0)))</f>
        <v>0.0</v>
      </c>
      <c r="E83" s="49">
        <f>SUMPRODUCT(cr_out_amt*(cr_out_date&gt;0)*(cr_out_date&lt;=$B83)*(((cr_out_rep="Once")+(cr_out_rep=""))*(cr_out_date=$B83)+(cr_out_rep="Every day")+(cr_out_rep="Weekly")*(MOD($B83-cr_out_date,7)=0)+(cr_out_rep="Every 2 weeks")*(MOD($B83-cr_out_date,14)=0)+(cr_out_rep="Monthly")*(((DAY(cr_out_date)=DAY($B83))+(DAY($B83)=DAY(EOMONTH($B83,0)))*(DAY(cr_out_date)&gt;DAY($B83)))&gt;0)+(cr_out_rep="Quarterly")*(((DAY(cr_out_date)=DAY($B83))+(DAY($B83)=DAY(EOMONTH($B83,0)))*(DAY(cr_out_date)&gt;DAY($B83)))&gt;0)*(MOD((YEAR($B83)-YEAR(cr_out_date))*12+MONTH($B83)-MONTH(cr_out_date),3)=0)))</f>
        <v>0.0</v>
      </c>
      <c r="F83" s="38">
        <f>F82+D83-E83</f>
        <v>6480.0</v>
      </c>
      <c r="G83" s="39">
        <f>F83-cr_floor</f>
        <v>1480.0</v>
      </c>
      <c r="H83" s="40">
        <f>F83-cr_big_amt*($B83&gt;=cr_big_date)*($B83&lt;cr_big_date+cr_late)</f>
        <v>6480.0</v>
      </c>
    </row>
    <row r="84" spans="2:8" s="1" customFormat="1">
      <c r="B84" s="41">
        <f>B83+1</f>
        <v>46405.0</v>
      </c>
      <c r="C84" s="42" t="str">
        <f t="array" ref="C84">IFERROR(_xlfn.TEXTJOIN("  ·  ",TRUE,IF((cr_in_amt&gt;0)*((cr_in_date&gt;0)*(cr_in_date&lt;=$B84)*(((cr_in_rep="Once")+(cr_in_rep=""))*(cr_in_date=$B84)+(cr_in_rep="Every day")+(cr_in_rep="Weekly")*(MOD($B84-cr_in_date,7)=0)+(cr_in_rep="Every 2 weeks")*(MOD($B84-cr_in_date,14)=0)+(cr_in_rep="Monthly")*(((DAY(cr_in_date)=DAY($B84))+(DAY($B84)=DAY(EOMONTH($B84,0)))*(DAY(cr_in_date)&gt;DAY($B84)))&gt;0)+(cr_in_rep="Quarterly")*(((DAY(cr_in_date)=DAY($B84))+(DAY($B84)=DAY(EOMONTH($B84,0)))*(DAY(cr_in_date)&gt;DAY($B84)))&gt;0)*(MOD((YEAR($B84)-YEAR(cr_in_date))*12+MONTH($B84)-MONTH(cr_in_date),3)=0)))&gt;0,"+ "&amp;cr_in_name,""),IF((cr_out_amt&gt;0)*((cr_out_date&gt;0)*(cr_out_date&lt;=$B84)*(((cr_out_rep="Once")+(cr_out_rep=""))*(cr_out_date=$B84)+(cr_out_rep="Every day")+(cr_out_rep="Weekly")*(MOD($B84-cr_out_date,7)=0)+(cr_out_rep="Every 2 weeks")*(MOD($B84-cr_out_date,14)=0)+(cr_out_rep="Monthly")*(((DAY(cr_out_date)=DAY($B84))+(DAY($B84)=DAY(EOMONTH($B84,0)))*(DAY(cr_out_date)&gt;DAY($B84)))&gt;0)+(cr_out_rep="Quarterly")*(((DAY(cr_out_date)=DAY($B84))+(DAY($B84)=DAY(EOMONTH($B84,0)))*(DAY(cr_out_date)&gt;DAY($B84)))&gt;0)*(MOD((YEAR($B84)-YEAR(cr_out_date))*12+MONTH($B84)-MONTH(cr_out_date),3)=0)))&gt;0,cr_out_name,"")),"")</f>
        <v>+ School art prize framing</v>
      </c>
      <c r="D84" s="43">
        <f>SUMPRODUCT(cr_in_amt*(cr_in_date&gt;0)*(cr_in_date&lt;=$B84)*(((cr_in_rep="Once")+(cr_in_rep=""))*(cr_in_date=$B84)+(cr_in_rep="Every day")+(cr_in_rep="Weekly")*(MOD($B84-cr_in_date,7)=0)+(cr_in_rep="Every 2 weeks")*(MOD($B84-cr_in_date,14)=0)+(cr_in_rep="Monthly")*(((DAY(cr_in_date)=DAY($B84))+(DAY($B84)=DAY(EOMONTH($B84,0)))*(DAY(cr_in_date)&gt;DAY($B84)))&gt;0)+(cr_in_rep="Quarterly")*(((DAY(cr_in_date)=DAY($B84))+(DAY($B84)=DAY(EOMONTH($B84,0)))*(DAY(cr_in_date)&gt;DAY($B84)))&gt;0)*(MOD((YEAR($B84)-YEAR(cr_in_date))*12+MONTH($B84)-MONTH(cr_in_date),3)=0)))</f>
        <v>4200.0</v>
      </c>
      <c r="E84" s="43">
        <f>SUMPRODUCT(cr_out_amt*(cr_out_date&gt;0)*(cr_out_date&lt;=$B84)*(((cr_out_rep="Once")+(cr_out_rep=""))*(cr_out_date=$B84)+(cr_out_rep="Every day")+(cr_out_rep="Weekly")*(MOD($B84-cr_out_date,7)=0)+(cr_out_rep="Every 2 weeks")*(MOD($B84-cr_out_date,14)=0)+(cr_out_rep="Monthly")*(((DAY(cr_out_date)=DAY($B84))+(DAY($B84)=DAY(EOMONTH($B84,0)))*(DAY(cr_out_date)&gt;DAY($B84)))&gt;0)+(cr_out_rep="Quarterly")*(((DAY(cr_out_date)=DAY($B84))+(DAY($B84)=DAY(EOMONTH($B84,0)))*(DAY(cr_out_date)&gt;DAY($B84)))&gt;0)*(MOD((YEAR($B84)-YEAR(cr_out_date))*12+MONTH($B84)-MONTH(cr_out_date),3)=0)))</f>
        <v>0.0</v>
      </c>
      <c r="F84" s="44">
        <f>F83+D84-E84</f>
        <v>10680.0</v>
      </c>
      <c r="G84" s="45">
        <f>F84-cr_floor</f>
        <v>5680.0</v>
      </c>
      <c r="H84" s="46">
        <f>F84-cr_big_amt*($B84&gt;=cr_big_date)*($B84&lt;cr_big_date+cr_late)</f>
        <v>10680.0</v>
      </c>
    </row>
    <row r="85" spans="2:8" s="1" customFormat="1">
      <c r="B85" s="41">
        <f>B84+1</f>
        <v>46406.0</v>
      </c>
      <c r="C85" s="42" t="str">
        <f t="array" ref="C85">IFERROR(_xlfn.TEXTJOIN("  ·  ",TRUE,IF((cr_in_amt&gt;0)*((cr_in_date&gt;0)*(cr_in_date&lt;=$B85)*(((cr_in_rep="Once")+(cr_in_rep=""))*(cr_in_date=$B85)+(cr_in_rep="Every day")+(cr_in_rep="Weekly")*(MOD($B85-cr_in_date,7)=0)+(cr_in_rep="Every 2 weeks")*(MOD($B85-cr_in_date,14)=0)+(cr_in_rep="Monthly")*(((DAY(cr_in_date)=DAY($B85))+(DAY($B85)=DAY(EOMONTH($B85,0)))*(DAY(cr_in_date)&gt;DAY($B85)))&gt;0)+(cr_in_rep="Quarterly")*(((DAY(cr_in_date)=DAY($B85))+(DAY($B85)=DAY(EOMONTH($B85,0)))*(DAY(cr_in_date)&gt;DAY($B85)))&gt;0)*(MOD((YEAR($B85)-YEAR(cr_in_date))*12+MONTH($B85)-MONTH(cr_in_date),3)=0)))&gt;0,"+ "&amp;cr_in_name,""),IF((cr_out_amt&gt;0)*((cr_out_date&gt;0)*(cr_out_date&lt;=$B85)*(((cr_out_rep="Once")+(cr_out_rep=""))*(cr_out_date=$B85)+(cr_out_rep="Every day")+(cr_out_rep="Weekly")*(MOD($B85-cr_out_date,7)=0)+(cr_out_rep="Every 2 weeks")*(MOD($B85-cr_out_date,14)=0)+(cr_out_rep="Monthly")*(((DAY(cr_out_date)=DAY($B85))+(DAY($B85)=DAY(EOMONTH($B85,0)))*(DAY(cr_out_date)&gt;DAY($B85)))&gt;0)+(cr_out_rep="Quarterly")*(((DAY(cr_out_date)=DAY($B85))+(DAY($B85)=DAY(EOMONTH($B85,0)))*(DAY(cr_out_date)&gt;DAY($B85)))&gt;0)*(MOD((YEAR($B85)-YEAR(cr_out_date))*12+MONTH($B85)-MONTH(cr_out_date),3)=0)))&gt;0,cr_out_name,"")),"")</f>
        <v/>
      </c>
      <c r="D85" s="43">
        <f>SUMPRODUCT(cr_in_amt*(cr_in_date&gt;0)*(cr_in_date&lt;=$B85)*(((cr_in_rep="Once")+(cr_in_rep=""))*(cr_in_date=$B85)+(cr_in_rep="Every day")+(cr_in_rep="Weekly")*(MOD($B85-cr_in_date,7)=0)+(cr_in_rep="Every 2 weeks")*(MOD($B85-cr_in_date,14)=0)+(cr_in_rep="Monthly")*(((DAY(cr_in_date)=DAY($B85))+(DAY($B85)=DAY(EOMONTH($B85,0)))*(DAY(cr_in_date)&gt;DAY($B85)))&gt;0)+(cr_in_rep="Quarterly")*(((DAY(cr_in_date)=DAY($B85))+(DAY($B85)=DAY(EOMONTH($B85,0)))*(DAY(cr_in_date)&gt;DAY($B85)))&gt;0)*(MOD((YEAR($B85)-YEAR(cr_in_date))*12+MONTH($B85)-MONTH(cr_in_date),3)=0)))</f>
        <v>0.0</v>
      </c>
      <c r="E85" s="43">
        <f>SUMPRODUCT(cr_out_amt*(cr_out_date&gt;0)*(cr_out_date&lt;=$B85)*(((cr_out_rep="Once")+(cr_out_rep=""))*(cr_out_date=$B85)+(cr_out_rep="Every day")+(cr_out_rep="Weekly")*(MOD($B85-cr_out_date,7)=0)+(cr_out_rep="Every 2 weeks")*(MOD($B85-cr_out_date,14)=0)+(cr_out_rep="Monthly")*(((DAY(cr_out_date)=DAY($B85))+(DAY($B85)=DAY(EOMONTH($B85,0)))*(DAY(cr_out_date)&gt;DAY($B85)))&gt;0)+(cr_out_rep="Quarterly")*(((DAY(cr_out_date)=DAY($B85))+(DAY($B85)=DAY(EOMONTH($B85,0)))*(DAY(cr_out_date)&gt;DAY($B85)))&gt;0)*(MOD((YEAR($B85)-YEAR(cr_out_date))*12+MONTH($B85)-MONTH(cr_out_date),3)=0)))</f>
        <v>0.0</v>
      </c>
      <c r="F85" s="44">
        <f>F84+D85-E85</f>
        <v>10680.0</v>
      </c>
      <c r="G85" s="45">
        <f>F85-cr_floor</f>
        <v>5680.0</v>
      </c>
      <c r="H85" s="46">
        <f>F85-cr_big_amt*($B85&gt;=cr_big_date)*($B85&lt;cr_big_date+cr_late)</f>
        <v>10680.0</v>
      </c>
    </row>
    <row r="86" spans="2:8" s="1" customFormat="1">
      <c r="B86" s="41">
        <f>B85+1</f>
        <v>46407.0</v>
      </c>
      <c r="C86" s="42" t="str">
        <f t="array" ref="C86">IFERROR(_xlfn.TEXTJOIN("  ·  ",TRUE,IF((cr_in_amt&gt;0)*((cr_in_date&gt;0)*(cr_in_date&lt;=$B86)*(((cr_in_rep="Once")+(cr_in_rep=""))*(cr_in_date=$B86)+(cr_in_rep="Every day")+(cr_in_rep="Weekly")*(MOD($B86-cr_in_date,7)=0)+(cr_in_rep="Every 2 weeks")*(MOD($B86-cr_in_date,14)=0)+(cr_in_rep="Monthly")*(((DAY(cr_in_date)=DAY($B86))+(DAY($B86)=DAY(EOMONTH($B86,0)))*(DAY(cr_in_date)&gt;DAY($B86)))&gt;0)+(cr_in_rep="Quarterly")*(((DAY(cr_in_date)=DAY($B86))+(DAY($B86)=DAY(EOMONTH($B86,0)))*(DAY(cr_in_date)&gt;DAY($B86)))&gt;0)*(MOD((YEAR($B86)-YEAR(cr_in_date))*12+MONTH($B86)-MONTH(cr_in_date),3)=0)))&gt;0,"+ "&amp;cr_in_name,""),IF((cr_out_amt&gt;0)*((cr_out_date&gt;0)*(cr_out_date&lt;=$B86)*(((cr_out_rep="Once")+(cr_out_rep=""))*(cr_out_date=$B86)+(cr_out_rep="Every day")+(cr_out_rep="Weekly")*(MOD($B86-cr_out_date,7)=0)+(cr_out_rep="Every 2 weeks")*(MOD($B86-cr_out_date,14)=0)+(cr_out_rep="Monthly")*(((DAY(cr_out_date)=DAY($B86))+(DAY($B86)=DAY(EOMONTH($B86,0)))*(DAY(cr_out_date)&gt;DAY($B86)))&gt;0)+(cr_out_rep="Quarterly")*(((DAY(cr_out_date)=DAY($B86))+(DAY($B86)=DAY(EOMONTH($B86,0)))*(DAY(cr_out_date)&gt;DAY($B86)))&gt;0)*(MOD((YEAR($B86)-YEAR(cr_out_date))*12+MONTH($B86)-MONTH(cr_out_date),3)=0)))&gt;0,cr_out_name,"")),"")</f>
        <v/>
      </c>
      <c r="D86" s="43">
        <f>SUMPRODUCT(cr_in_amt*(cr_in_date&gt;0)*(cr_in_date&lt;=$B86)*(((cr_in_rep="Once")+(cr_in_rep=""))*(cr_in_date=$B86)+(cr_in_rep="Every day")+(cr_in_rep="Weekly")*(MOD($B86-cr_in_date,7)=0)+(cr_in_rep="Every 2 weeks")*(MOD($B86-cr_in_date,14)=0)+(cr_in_rep="Monthly")*(((DAY(cr_in_date)=DAY($B86))+(DAY($B86)=DAY(EOMONTH($B86,0)))*(DAY(cr_in_date)&gt;DAY($B86)))&gt;0)+(cr_in_rep="Quarterly")*(((DAY(cr_in_date)=DAY($B86))+(DAY($B86)=DAY(EOMONTH($B86,0)))*(DAY(cr_in_date)&gt;DAY($B86)))&gt;0)*(MOD((YEAR($B86)-YEAR(cr_in_date))*12+MONTH($B86)-MONTH(cr_in_date),3)=0)))</f>
        <v>0.0</v>
      </c>
      <c r="E86" s="43">
        <f>SUMPRODUCT(cr_out_amt*(cr_out_date&gt;0)*(cr_out_date&lt;=$B86)*(((cr_out_rep="Once")+(cr_out_rep=""))*(cr_out_date=$B86)+(cr_out_rep="Every day")+(cr_out_rep="Weekly")*(MOD($B86-cr_out_date,7)=0)+(cr_out_rep="Every 2 weeks")*(MOD($B86-cr_out_date,14)=0)+(cr_out_rep="Monthly")*(((DAY(cr_out_date)=DAY($B86))+(DAY($B86)=DAY(EOMONTH($B86,0)))*(DAY(cr_out_date)&gt;DAY($B86)))&gt;0)+(cr_out_rep="Quarterly")*(((DAY(cr_out_date)=DAY($B86))+(DAY($B86)=DAY(EOMONTH($B86,0)))*(DAY(cr_out_date)&gt;DAY($B86)))&gt;0)*(MOD((YEAR($B86)-YEAR(cr_out_date))*12+MONTH($B86)-MONTH(cr_out_date),3)=0)))</f>
        <v>0.0</v>
      </c>
      <c r="F86" s="44">
        <f>F85+D86-E86</f>
        <v>10680.0</v>
      </c>
      <c r="G86" s="45">
        <f>F86-cr_floor</f>
        <v>5680.0</v>
      </c>
      <c r="H86" s="46">
        <f>F86-cr_big_amt*($B86&gt;=cr_big_date)*($B86&lt;cr_big_date+cr_late)</f>
        <v>10680.0</v>
      </c>
    </row>
    <row r="87" spans="2:8" s="1" customFormat="1">
      <c r="B87" s="41">
        <f>B86+1</f>
        <v>46408.0</v>
      </c>
      <c r="C87" s="42" t="str">
        <f t="array" ref="C87">IFERROR(_xlfn.TEXTJOIN("  ·  ",TRUE,IF((cr_in_amt&gt;0)*((cr_in_date&gt;0)*(cr_in_date&lt;=$B87)*(((cr_in_rep="Once")+(cr_in_rep=""))*(cr_in_date=$B87)+(cr_in_rep="Every day")+(cr_in_rep="Weekly")*(MOD($B87-cr_in_date,7)=0)+(cr_in_rep="Every 2 weeks")*(MOD($B87-cr_in_date,14)=0)+(cr_in_rep="Monthly")*(((DAY(cr_in_date)=DAY($B87))+(DAY($B87)=DAY(EOMONTH($B87,0)))*(DAY(cr_in_date)&gt;DAY($B87)))&gt;0)+(cr_in_rep="Quarterly")*(((DAY(cr_in_date)=DAY($B87))+(DAY($B87)=DAY(EOMONTH($B87,0)))*(DAY(cr_in_date)&gt;DAY($B87)))&gt;0)*(MOD((YEAR($B87)-YEAR(cr_in_date))*12+MONTH($B87)-MONTH(cr_in_date),3)=0)))&gt;0,"+ "&amp;cr_in_name,""),IF((cr_out_amt&gt;0)*((cr_out_date&gt;0)*(cr_out_date&lt;=$B87)*(((cr_out_rep="Once")+(cr_out_rep=""))*(cr_out_date=$B87)+(cr_out_rep="Every day")+(cr_out_rep="Weekly")*(MOD($B87-cr_out_date,7)=0)+(cr_out_rep="Every 2 weeks")*(MOD($B87-cr_out_date,14)=0)+(cr_out_rep="Monthly")*(((DAY(cr_out_date)=DAY($B87))+(DAY($B87)=DAY(EOMONTH($B87,0)))*(DAY(cr_out_date)&gt;DAY($B87)))&gt;0)+(cr_out_rep="Quarterly")*(((DAY(cr_out_date)=DAY($B87))+(DAY($B87)=DAY(EOMONTH($B87,0)))*(DAY(cr_out_date)&gt;DAY($B87)))&gt;0)*(MOD((YEAR($B87)-YEAR(cr_out_date))*12+MONTH($B87)-MONTH(cr_out_date),3)=0)))&gt;0,cr_out_name,"")),"")</f>
        <v/>
      </c>
      <c r="D87" s="43">
        <f>SUMPRODUCT(cr_in_amt*(cr_in_date&gt;0)*(cr_in_date&lt;=$B87)*(((cr_in_rep="Once")+(cr_in_rep=""))*(cr_in_date=$B87)+(cr_in_rep="Every day")+(cr_in_rep="Weekly")*(MOD($B87-cr_in_date,7)=0)+(cr_in_rep="Every 2 weeks")*(MOD($B87-cr_in_date,14)=0)+(cr_in_rep="Monthly")*(((DAY(cr_in_date)=DAY($B87))+(DAY($B87)=DAY(EOMONTH($B87,0)))*(DAY(cr_in_date)&gt;DAY($B87)))&gt;0)+(cr_in_rep="Quarterly")*(((DAY(cr_in_date)=DAY($B87))+(DAY($B87)=DAY(EOMONTH($B87,0)))*(DAY(cr_in_date)&gt;DAY($B87)))&gt;0)*(MOD((YEAR($B87)-YEAR(cr_in_date))*12+MONTH($B87)-MONTH(cr_in_date),3)=0)))</f>
        <v>0.0</v>
      </c>
      <c r="E87" s="43">
        <f>SUMPRODUCT(cr_out_amt*(cr_out_date&gt;0)*(cr_out_date&lt;=$B87)*(((cr_out_rep="Once")+(cr_out_rep=""))*(cr_out_date=$B87)+(cr_out_rep="Every day")+(cr_out_rep="Weekly")*(MOD($B87-cr_out_date,7)=0)+(cr_out_rep="Every 2 weeks")*(MOD($B87-cr_out_date,14)=0)+(cr_out_rep="Monthly")*(((DAY(cr_out_date)=DAY($B87))+(DAY($B87)=DAY(EOMONTH($B87,0)))*(DAY(cr_out_date)&gt;DAY($B87)))&gt;0)+(cr_out_rep="Quarterly")*(((DAY(cr_out_date)=DAY($B87))+(DAY($B87)=DAY(EOMONTH($B87,0)))*(DAY(cr_out_date)&gt;DAY($B87)))&gt;0)*(MOD((YEAR($B87)-YEAR(cr_out_date))*12+MONTH($B87)-MONTH(cr_out_date),3)=0)))</f>
        <v>0.0</v>
      </c>
      <c r="F87" s="44">
        <f>F86+D87-E87</f>
        <v>10680.0</v>
      </c>
      <c r="G87" s="45">
        <f>F87-cr_floor</f>
        <v>5680.0</v>
      </c>
      <c r="H87" s="46">
        <f>F87-cr_big_amt*($B87&gt;=cr_big_date)*($B87&lt;cr_big_date+cr_late)</f>
        <v>10680.0</v>
      </c>
    </row>
    <row r="88" spans="2:8" s="1" customFormat="1">
      <c r="B88" s="41">
        <f>B87+1</f>
        <v>46409.0</v>
      </c>
      <c r="C88" s="42" t="str">
        <f t="array" ref="C88">IFERROR(_xlfn.TEXTJOIN("  ·  ",TRUE,IF((cr_in_amt&gt;0)*((cr_in_date&gt;0)*(cr_in_date&lt;=$B88)*(((cr_in_rep="Once")+(cr_in_rep=""))*(cr_in_date=$B88)+(cr_in_rep="Every day")+(cr_in_rep="Weekly")*(MOD($B88-cr_in_date,7)=0)+(cr_in_rep="Every 2 weeks")*(MOD($B88-cr_in_date,14)=0)+(cr_in_rep="Monthly")*(((DAY(cr_in_date)=DAY($B88))+(DAY($B88)=DAY(EOMONTH($B88,0)))*(DAY(cr_in_date)&gt;DAY($B88)))&gt;0)+(cr_in_rep="Quarterly")*(((DAY(cr_in_date)=DAY($B88))+(DAY($B88)=DAY(EOMONTH($B88,0)))*(DAY(cr_in_date)&gt;DAY($B88)))&gt;0)*(MOD((YEAR($B88)-YEAR(cr_in_date))*12+MONTH($B88)-MONTH(cr_in_date),3)=0)))&gt;0,"+ "&amp;cr_in_name,""),IF((cr_out_amt&gt;0)*((cr_out_date&gt;0)*(cr_out_date&lt;=$B88)*(((cr_out_rep="Once")+(cr_out_rep=""))*(cr_out_date=$B88)+(cr_out_rep="Every day")+(cr_out_rep="Weekly")*(MOD($B88-cr_out_date,7)=0)+(cr_out_rep="Every 2 weeks")*(MOD($B88-cr_out_date,14)=0)+(cr_out_rep="Monthly")*(((DAY(cr_out_date)=DAY($B88))+(DAY($B88)=DAY(EOMONTH($B88,0)))*(DAY(cr_out_date)&gt;DAY($B88)))&gt;0)+(cr_out_rep="Quarterly")*(((DAY(cr_out_date)=DAY($B88))+(DAY($B88)=DAY(EOMONTH($B88,0)))*(DAY(cr_out_date)&gt;DAY($B88)))&gt;0)*(MOD((YEAR($B88)-YEAR(cr_out_date))*12+MONTH($B88)-MONTH(cr_out_date),3)=0)))&gt;0,cr_out_name,"")),"")</f>
        <v>+ Shop takings (typical week)</v>
      </c>
      <c r="D88" s="43">
        <f>SUMPRODUCT(cr_in_amt*(cr_in_date&gt;0)*(cr_in_date&lt;=$B88)*(((cr_in_rep="Once")+(cr_in_rep=""))*(cr_in_date=$B88)+(cr_in_rep="Every day")+(cr_in_rep="Weekly")*(MOD($B88-cr_in_date,7)=0)+(cr_in_rep="Every 2 weeks")*(MOD($B88-cr_in_date,14)=0)+(cr_in_rep="Monthly")*(((DAY(cr_in_date)=DAY($B88))+(DAY($B88)=DAY(EOMONTH($B88,0)))*(DAY(cr_in_date)&gt;DAY($B88)))&gt;0)+(cr_in_rep="Quarterly")*(((DAY(cr_in_date)=DAY($B88))+(DAY($B88)=DAY(EOMONTH($B88,0)))*(DAY(cr_in_date)&gt;DAY($B88)))&gt;0)*(MOD((YEAR($B88)-YEAR(cr_in_date))*12+MONTH($B88)-MONTH(cr_in_date),3)=0)))</f>
        <v>2600.0</v>
      </c>
      <c r="E88" s="43">
        <f>SUMPRODUCT(cr_out_amt*(cr_out_date&gt;0)*(cr_out_date&lt;=$B88)*(((cr_out_rep="Once")+(cr_out_rep=""))*(cr_out_date=$B88)+(cr_out_rep="Every day")+(cr_out_rep="Weekly")*(MOD($B88-cr_out_date,7)=0)+(cr_out_rep="Every 2 weeks")*(MOD($B88-cr_out_date,14)=0)+(cr_out_rep="Monthly")*(((DAY(cr_out_date)=DAY($B88))+(DAY($B88)=DAY(EOMONTH($B88,0)))*(DAY(cr_out_date)&gt;DAY($B88)))&gt;0)+(cr_out_rep="Quarterly")*(((DAY(cr_out_date)=DAY($B88))+(DAY($B88)=DAY(EOMONTH($B88,0)))*(DAY(cr_out_date)&gt;DAY($B88)))&gt;0)*(MOD((YEAR($B88)-YEAR(cr_out_date))*12+MONTH($B88)-MONTH(cr_out_date),3)=0)))</f>
        <v>0.0</v>
      </c>
      <c r="F88" s="44">
        <f>F87+D88-E88</f>
        <v>13280.0</v>
      </c>
      <c r="G88" s="45">
        <f>F88-cr_floor</f>
        <v>8280.0</v>
      </c>
      <c r="H88" s="46">
        <f>F88-cr_big_amt*($B88&gt;=cr_big_date)*($B88&lt;cr_big_date+cr_late)</f>
        <v>13280.0</v>
      </c>
    </row>
    <row r="89" spans="2:8" s="1" customFormat="1">
      <c r="B89" s="41">
        <f>B88+1</f>
        <v>46410.0</v>
      </c>
      <c r="C89" s="42" t="str">
        <f t="array" ref="C89">IFERROR(_xlfn.TEXTJOIN("  ·  ",TRUE,IF((cr_in_amt&gt;0)*((cr_in_date&gt;0)*(cr_in_date&lt;=$B89)*(((cr_in_rep="Once")+(cr_in_rep=""))*(cr_in_date=$B89)+(cr_in_rep="Every day")+(cr_in_rep="Weekly")*(MOD($B89-cr_in_date,7)=0)+(cr_in_rep="Every 2 weeks")*(MOD($B89-cr_in_date,14)=0)+(cr_in_rep="Monthly")*(((DAY(cr_in_date)=DAY($B89))+(DAY($B89)=DAY(EOMONTH($B89,0)))*(DAY(cr_in_date)&gt;DAY($B89)))&gt;0)+(cr_in_rep="Quarterly")*(((DAY(cr_in_date)=DAY($B89))+(DAY($B89)=DAY(EOMONTH($B89,0)))*(DAY(cr_in_date)&gt;DAY($B89)))&gt;0)*(MOD((YEAR($B89)-YEAR(cr_in_date))*12+MONTH($B89)-MONTH(cr_in_date),3)=0)))&gt;0,"+ "&amp;cr_in_name,""),IF((cr_out_amt&gt;0)*((cr_out_date&gt;0)*(cr_out_date&lt;=$B89)*(((cr_out_rep="Once")+(cr_out_rep=""))*(cr_out_date=$B89)+(cr_out_rep="Every day")+(cr_out_rep="Weekly")*(MOD($B89-cr_out_date,7)=0)+(cr_out_rep="Every 2 weeks")*(MOD($B89-cr_out_date,14)=0)+(cr_out_rep="Monthly")*(((DAY(cr_out_date)=DAY($B89))+(DAY($B89)=DAY(EOMONTH($B89,0)))*(DAY(cr_out_date)&gt;DAY($B89)))&gt;0)+(cr_out_rep="Quarterly")*(((DAY(cr_out_date)=DAY($B89))+(DAY($B89)=DAY(EOMONTH($B89,0)))*(DAY(cr_out_date)&gt;DAY($B89)))&gt;0)*(MOD((YEAR($B89)-YEAR(cr_out_date))*12+MONTH($B89)-MONTH(cr_out_date),3)=0)))&gt;0,cr_out_name,"")),"")</f>
        <v/>
      </c>
      <c r="D89" s="43">
        <f>SUMPRODUCT(cr_in_amt*(cr_in_date&gt;0)*(cr_in_date&lt;=$B89)*(((cr_in_rep="Once")+(cr_in_rep=""))*(cr_in_date=$B89)+(cr_in_rep="Every day")+(cr_in_rep="Weekly")*(MOD($B89-cr_in_date,7)=0)+(cr_in_rep="Every 2 weeks")*(MOD($B89-cr_in_date,14)=0)+(cr_in_rep="Monthly")*(((DAY(cr_in_date)=DAY($B89))+(DAY($B89)=DAY(EOMONTH($B89,0)))*(DAY(cr_in_date)&gt;DAY($B89)))&gt;0)+(cr_in_rep="Quarterly")*(((DAY(cr_in_date)=DAY($B89))+(DAY($B89)=DAY(EOMONTH($B89,0)))*(DAY(cr_in_date)&gt;DAY($B89)))&gt;0)*(MOD((YEAR($B89)-YEAR(cr_in_date))*12+MONTH($B89)-MONTH(cr_in_date),3)=0)))</f>
        <v>0.0</v>
      </c>
      <c r="E89" s="43">
        <f>SUMPRODUCT(cr_out_amt*(cr_out_date&gt;0)*(cr_out_date&lt;=$B89)*(((cr_out_rep="Once")+(cr_out_rep=""))*(cr_out_date=$B89)+(cr_out_rep="Every day")+(cr_out_rep="Weekly")*(MOD($B89-cr_out_date,7)=0)+(cr_out_rep="Every 2 weeks")*(MOD($B89-cr_out_date,14)=0)+(cr_out_rep="Monthly")*(((DAY(cr_out_date)=DAY($B89))+(DAY($B89)=DAY(EOMONTH($B89,0)))*(DAY(cr_out_date)&gt;DAY($B89)))&gt;0)+(cr_out_rep="Quarterly")*(((DAY(cr_out_date)=DAY($B89))+(DAY($B89)=DAY(EOMONTH($B89,0)))*(DAY(cr_out_date)&gt;DAY($B89)))&gt;0)*(MOD((YEAR($B89)-YEAR(cr_out_date))*12+MONTH($B89)-MONTH(cr_out_date),3)=0)))</f>
        <v>0.0</v>
      </c>
      <c r="F89" s="44">
        <f>F88+D89-E89</f>
        <v>13280.0</v>
      </c>
      <c r="G89" s="45">
        <f>F89-cr_floor</f>
        <v>8280.0</v>
      </c>
      <c r="H89" s="46">
        <f>F89-cr_big_amt*($B89&gt;=cr_big_date)*($B89&lt;cr_big_date+cr_late)</f>
        <v>13280.0</v>
      </c>
    </row>
    <row r="90" spans="2:8" s="1" customFormat="1">
      <c r="B90" s="47">
        <f>B89+1</f>
        <v>46411.0</v>
      </c>
      <c r="C90" s="48" t="str">
        <f t="array" ref="C90">IFERROR(_xlfn.TEXTJOIN("  ·  ",TRUE,IF((cr_in_amt&gt;0)*((cr_in_date&gt;0)*(cr_in_date&lt;=$B90)*(((cr_in_rep="Once")+(cr_in_rep=""))*(cr_in_date=$B90)+(cr_in_rep="Every day")+(cr_in_rep="Weekly")*(MOD($B90-cr_in_date,7)=0)+(cr_in_rep="Every 2 weeks")*(MOD($B90-cr_in_date,14)=0)+(cr_in_rep="Monthly")*(((DAY(cr_in_date)=DAY($B90))+(DAY($B90)=DAY(EOMONTH($B90,0)))*(DAY(cr_in_date)&gt;DAY($B90)))&gt;0)+(cr_in_rep="Quarterly")*(((DAY(cr_in_date)=DAY($B90))+(DAY($B90)=DAY(EOMONTH($B90,0)))*(DAY(cr_in_date)&gt;DAY($B90)))&gt;0)*(MOD((YEAR($B90)-YEAR(cr_in_date))*12+MONTH($B90)-MONTH(cr_in_date),3)=0)))&gt;0,"+ "&amp;cr_in_name,""),IF((cr_out_amt&gt;0)*((cr_out_date&gt;0)*(cr_out_date&lt;=$B90)*(((cr_out_rep="Once")+(cr_out_rep=""))*(cr_out_date=$B90)+(cr_out_rep="Every day")+(cr_out_rep="Weekly")*(MOD($B90-cr_out_date,7)=0)+(cr_out_rep="Every 2 weeks")*(MOD($B90-cr_out_date,14)=0)+(cr_out_rep="Monthly")*(((DAY(cr_out_date)=DAY($B90))+(DAY($B90)=DAY(EOMONTH($B90,0)))*(DAY(cr_out_date)&gt;DAY($B90)))&gt;0)+(cr_out_rep="Quarterly")*(((DAY(cr_out_date)=DAY($B90))+(DAY($B90)=DAY(EOMONTH($B90,0)))*(DAY(cr_out_date)&gt;DAY($B90)))&gt;0)*(MOD((YEAR($B90)-YEAR(cr_out_date))*12+MONTH($B90)-MONTH(cr_out_date),3)=0)))&gt;0,cr_out_name,"")),"")</f>
        <v/>
      </c>
      <c r="D90" s="49">
        <f>SUMPRODUCT(cr_in_amt*(cr_in_date&gt;0)*(cr_in_date&lt;=$B90)*(((cr_in_rep="Once")+(cr_in_rep=""))*(cr_in_date=$B90)+(cr_in_rep="Every day")+(cr_in_rep="Weekly")*(MOD($B90-cr_in_date,7)=0)+(cr_in_rep="Every 2 weeks")*(MOD($B90-cr_in_date,14)=0)+(cr_in_rep="Monthly")*(((DAY(cr_in_date)=DAY($B90))+(DAY($B90)=DAY(EOMONTH($B90,0)))*(DAY(cr_in_date)&gt;DAY($B90)))&gt;0)+(cr_in_rep="Quarterly")*(((DAY(cr_in_date)=DAY($B90))+(DAY($B90)=DAY(EOMONTH($B90,0)))*(DAY(cr_in_date)&gt;DAY($B90)))&gt;0)*(MOD((YEAR($B90)-YEAR(cr_in_date))*12+MONTH($B90)-MONTH(cr_in_date),3)=0)))</f>
        <v>0.0</v>
      </c>
      <c r="E90" s="49">
        <f>SUMPRODUCT(cr_out_amt*(cr_out_date&gt;0)*(cr_out_date&lt;=$B90)*(((cr_out_rep="Once")+(cr_out_rep=""))*(cr_out_date=$B90)+(cr_out_rep="Every day")+(cr_out_rep="Weekly")*(MOD($B90-cr_out_date,7)=0)+(cr_out_rep="Every 2 weeks")*(MOD($B90-cr_out_date,14)=0)+(cr_out_rep="Monthly")*(((DAY(cr_out_date)=DAY($B90))+(DAY($B90)=DAY(EOMONTH($B90,0)))*(DAY(cr_out_date)&gt;DAY($B90)))&gt;0)+(cr_out_rep="Quarterly")*(((DAY(cr_out_date)=DAY($B90))+(DAY($B90)=DAY(EOMONTH($B90,0)))*(DAY(cr_out_date)&gt;DAY($B90)))&gt;0)*(MOD((YEAR($B90)-YEAR(cr_out_date))*12+MONTH($B90)-MONTH(cr_out_date),3)=0)))</f>
        <v>0.0</v>
      </c>
      <c r="F90" s="38">
        <f>F89+D90-E90</f>
        <v>13280.0</v>
      </c>
      <c r="G90" s="39">
        <f>F90-cr_floor</f>
        <v>8280.0</v>
      </c>
      <c r="H90" s="40">
        <f>F90-cr_big_amt*($B90&gt;=cr_big_date)*($B90&lt;cr_big_date+cr_late)</f>
        <v>13280.0</v>
      </c>
    </row>
    <row r="91" spans="2:8" s="1" customFormat="1">
      <c r="B91" s="41">
        <f>B90+1</f>
        <v>46412.0</v>
      </c>
      <c r="C91" s="42" t="str">
        <f t="array" ref="C91">IFERROR(_xlfn.TEXTJOIN("  ·  ",TRUE,IF((cr_in_amt&gt;0)*((cr_in_date&gt;0)*(cr_in_date&lt;=$B91)*(((cr_in_rep="Once")+(cr_in_rep=""))*(cr_in_date=$B91)+(cr_in_rep="Every day")+(cr_in_rep="Weekly")*(MOD($B91-cr_in_date,7)=0)+(cr_in_rep="Every 2 weeks")*(MOD($B91-cr_in_date,14)=0)+(cr_in_rep="Monthly")*(((DAY(cr_in_date)=DAY($B91))+(DAY($B91)=DAY(EOMONTH($B91,0)))*(DAY(cr_in_date)&gt;DAY($B91)))&gt;0)+(cr_in_rep="Quarterly")*(((DAY(cr_in_date)=DAY($B91))+(DAY($B91)=DAY(EOMONTH($B91,0)))*(DAY(cr_in_date)&gt;DAY($B91)))&gt;0)*(MOD((YEAR($B91)-YEAR(cr_in_date))*12+MONTH($B91)-MONTH(cr_in_date),3)=0)))&gt;0,"+ "&amp;cr_in_name,""),IF((cr_out_amt&gt;0)*((cr_out_date&gt;0)*(cr_out_date&lt;=$B91)*(((cr_out_rep="Once")+(cr_out_rep=""))*(cr_out_date=$B91)+(cr_out_rep="Every day")+(cr_out_rep="Weekly")*(MOD($B91-cr_out_date,7)=0)+(cr_out_rep="Every 2 weeks")*(MOD($B91-cr_out_date,14)=0)+(cr_out_rep="Monthly")*(((DAY(cr_out_date)=DAY($B91))+(DAY($B91)=DAY(EOMONTH($B91,0)))*(DAY(cr_out_date)&gt;DAY($B91)))&gt;0)+(cr_out_rep="Quarterly")*(((DAY(cr_out_date)=DAY($B91))+(DAY($B91)=DAY(EOMONTH($B91,0)))*(DAY(cr_out_date)&gt;DAY($B91)))&gt;0)*(MOD((YEAR($B91)-YEAR(cr_out_date))*12+MONTH($B91)-MONTH(cr_out_date),3)=0)))&gt;0,cr_out_name,"")),"")</f>
        <v/>
      </c>
      <c r="D91" s="43">
        <f>SUMPRODUCT(cr_in_amt*(cr_in_date&gt;0)*(cr_in_date&lt;=$B91)*(((cr_in_rep="Once")+(cr_in_rep=""))*(cr_in_date=$B91)+(cr_in_rep="Every day")+(cr_in_rep="Weekly")*(MOD($B91-cr_in_date,7)=0)+(cr_in_rep="Every 2 weeks")*(MOD($B91-cr_in_date,14)=0)+(cr_in_rep="Monthly")*(((DAY(cr_in_date)=DAY($B91))+(DAY($B91)=DAY(EOMONTH($B91,0)))*(DAY(cr_in_date)&gt;DAY($B91)))&gt;0)+(cr_in_rep="Quarterly")*(((DAY(cr_in_date)=DAY($B91))+(DAY($B91)=DAY(EOMONTH($B91,0)))*(DAY(cr_in_date)&gt;DAY($B91)))&gt;0)*(MOD((YEAR($B91)-YEAR(cr_in_date))*12+MONTH($B91)-MONTH(cr_in_date),3)=0)))</f>
        <v>0.0</v>
      </c>
      <c r="E91" s="43">
        <f>SUMPRODUCT(cr_out_amt*(cr_out_date&gt;0)*(cr_out_date&lt;=$B91)*(((cr_out_rep="Once")+(cr_out_rep=""))*(cr_out_date=$B91)+(cr_out_rep="Every day")+(cr_out_rep="Weekly")*(MOD($B91-cr_out_date,7)=0)+(cr_out_rep="Every 2 weeks")*(MOD($B91-cr_out_date,14)=0)+(cr_out_rep="Monthly")*(((DAY(cr_out_date)=DAY($B91))+(DAY($B91)=DAY(EOMONTH($B91,0)))*(DAY(cr_out_date)&gt;DAY($B91)))&gt;0)+(cr_out_rep="Quarterly")*(((DAY(cr_out_date)=DAY($B91))+(DAY($B91)=DAY(EOMONTH($B91,0)))*(DAY(cr_out_date)&gt;DAY($B91)))&gt;0)*(MOD((YEAR($B91)-YEAR(cr_out_date))*12+MONTH($B91)-MONTH(cr_out_date),3)=0)))</f>
        <v>0.0</v>
      </c>
      <c r="F91" s="44">
        <f>F90+D91-E91</f>
        <v>13280.0</v>
      </c>
      <c r="G91" s="45">
        <f>F91-cr_floor</f>
        <v>8280.0</v>
      </c>
      <c r="H91" s="46">
        <f>F91-cr_big_amt*($B91&gt;=cr_big_date)*($B91&lt;cr_big_date+cr_late)</f>
        <v>13280.0</v>
      </c>
    </row>
    <row r="92" spans="2:8" s="1" customFormat="1">
      <c r="B92" s="41">
        <f>B91+1</f>
        <v>46413.0</v>
      </c>
      <c r="C92" s="42" t="str">
        <f t="array" ref="C92">IFERROR(_xlfn.TEXTJOIN("  ·  ",TRUE,IF((cr_in_amt&gt;0)*((cr_in_date&gt;0)*(cr_in_date&lt;=$B92)*(((cr_in_rep="Once")+(cr_in_rep=""))*(cr_in_date=$B92)+(cr_in_rep="Every day")+(cr_in_rep="Weekly")*(MOD($B92-cr_in_date,7)=0)+(cr_in_rep="Every 2 weeks")*(MOD($B92-cr_in_date,14)=0)+(cr_in_rep="Monthly")*(((DAY(cr_in_date)=DAY($B92))+(DAY($B92)=DAY(EOMONTH($B92,0)))*(DAY(cr_in_date)&gt;DAY($B92)))&gt;0)+(cr_in_rep="Quarterly")*(((DAY(cr_in_date)=DAY($B92))+(DAY($B92)=DAY(EOMONTH($B92,0)))*(DAY(cr_in_date)&gt;DAY($B92)))&gt;0)*(MOD((YEAR($B92)-YEAR(cr_in_date))*12+MONTH($B92)-MONTH(cr_in_date),3)=0)))&gt;0,"+ "&amp;cr_in_name,""),IF((cr_out_amt&gt;0)*((cr_out_date&gt;0)*(cr_out_date&lt;=$B92)*(((cr_out_rep="Once")+(cr_out_rep=""))*(cr_out_date=$B92)+(cr_out_rep="Every day")+(cr_out_rep="Weekly")*(MOD($B92-cr_out_date,7)=0)+(cr_out_rep="Every 2 weeks")*(MOD($B92-cr_out_date,14)=0)+(cr_out_rep="Monthly")*(((DAY(cr_out_date)=DAY($B92))+(DAY($B92)=DAY(EOMONTH($B92,0)))*(DAY(cr_out_date)&gt;DAY($B92)))&gt;0)+(cr_out_rep="Quarterly")*(((DAY(cr_out_date)=DAY($B92))+(DAY($B92)=DAY(EOMONTH($B92,0)))*(DAY(cr_out_date)&gt;DAY($B92)))&gt;0)*(MOD((YEAR($B92)-YEAR(cr_out_date))*12+MONTH($B92)-MONTH(cr_out_date),3)=0)))&gt;0,cr_out_name,"")),"")</f>
        <v/>
      </c>
      <c r="D92" s="43">
        <f>SUMPRODUCT(cr_in_amt*(cr_in_date&gt;0)*(cr_in_date&lt;=$B92)*(((cr_in_rep="Once")+(cr_in_rep=""))*(cr_in_date=$B92)+(cr_in_rep="Every day")+(cr_in_rep="Weekly")*(MOD($B92-cr_in_date,7)=0)+(cr_in_rep="Every 2 weeks")*(MOD($B92-cr_in_date,14)=0)+(cr_in_rep="Monthly")*(((DAY(cr_in_date)=DAY($B92))+(DAY($B92)=DAY(EOMONTH($B92,0)))*(DAY(cr_in_date)&gt;DAY($B92)))&gt;0)+(cr_in_rep="Quarterly")*(((DAY(cr_in_date)=DAY($B92))+(DAY($B92)=DAY(EOMONTH($B92,0)))*(DAY(cr_in_date)&gt;DAY($B92)))&gt;0)*(MOD((YEAR($B92)-YEAR(cr_in_date))*12+MONTH($B92)-MONTH(cr_in_date),3)=0)))</f>
        <v>0.0</v>
      </c>
      <c r="E92" s="43">
        <f>SUMPRODUCT(cr_out_amt*(cr_out_date&gt;0)*(cr_out_date&lt;=$B92)*(((cr_out_rep="Once")+(cr_out_rep=""))*(cr_out_date=$B92)+(cr_out_rep="Every day")+(cr_out_rep="Weekly")*(MOD($B92-cr_out_date,7)=0)+(cr_out_rep="Every 2 weeks")*(MOD($B92-cr_out_date,14)=0)+(cr_out_rep="Monthly")*(((DAY(cr_out_date)=DAY($B92))+(DAY($B92)=DAY(EOMONTH($B92,0)))*(DAY(cr_out_date)&gt;DAY($B92)))&gt;0)+(cr_out_rep="Quarterly")*(((DAY(cr_out_date)=DAY($B92))+(DAY($B92)=DAY(EOMONTH($B92,0)))*(DAY(cr_out_date)&gt;DAY($B92)))&gt;0)*(MOD((YEAR($B92)-YEAR(cr_out_date))*12+MONTH($B92)-MONTH(cr_out_date),3)=0)))</f>
        <v>0.0</v>
      </c>
      <c r="F92" s="44">
        <f>F91+D92-E92</f>
        <v>13280.0</v>
      </c>
      <c r="G92" s="45">
        <f>F92-cr_floor</f>
        <v>8280.0</v>
      </c>
      <c r="H92" s="46">
        <f>F92-cr_big_amt*($B92&gt;=cr_big_date)*($B92&lt;cr_big_date+cr_late)</f>
        <v>13280.0</v>
      </c>
    </row>
    <row r="93" spans="2:8" s="1" customFormat="1">
      <c r="B93" s="41">
        <f>B92+1</f>
        <v>46414.0</v>
      </c>
      <c r="C93" s="42" t="str">
        <f t="array" ref="C93">IFERROR(_xlfn.TEXTJOIN("  ·  ",TRUE,IF((cr_in_amt&gt;0)*((cr_in_date&gt;0)*(cr_in_date&lt;=$B93)*(((cr_in_rep="Once")+(cr_in_rep=""))*(cr_in_date=$B93)+(cr_in_rep="Every day")+(cr_in_rep="Weekly")*(MOD($B93-cr_in_date,7)=0)+(cr_in_rep="Every 2 weeks")*(MOD($B93-cr_in_date,14)=0)+(cr_in_rep="Monthly")*(((DAY(cr_in_date)=DAY($B93))+(DAY($B93)=DAY(EOMONTH($B93,0)))*(DAY(cr_in_date)&gt;DAY($B93)))&gt;0)+(cr_in_rep="Quarterly")*(((DAY(cr_in_date)=DAY($B93))+(DAY($B93)=DAY(EOMONTH($B93,0)))*(DAY(cr_in_date)&gt;DAY($B93)))&gt;0)*(MOD((YEAR($B93)-YEAR(cr_in_date))*12+MONTH($B93)-MONTH(cr_in_date),3)=0)))&gt;0,"+ "&amp;cr_in_name,""),IF((cr_out_amt&gt;0)*((cr_out_date&gt;0)*(cr_out_date&lt;=$B93)*(((cr_out_rep="Once")+(cr_out_rep=""))*(cr_out_date=$B93)+(cr_out_rep="Every day")+(cr_out_rep="Weekly")*(MOD($B93-cr_out_date,7)=0)+(cr_out_rep="Every 2 weeks")*(MOD($B93-cr_out_date,14)=0)+(cr_out_rep="Monthly")*(((DAY(cr_out_date)=DAY($B93))+(DAY($B93)=DAY(EOMONTH($B93,0)))*(DAY(cr_out_date)&gt;DAY($B93)))&gt;0)+(cr_out_rep="Quarterly")*(((DAY(cr_out_date)=DAY($B93))+(DAY($B93)=DAY(EOMONTH($B93,0)))*(DAY(cr_out_date)&gt;DAY($B93)))&gt;0)*(MOD((YEAR($B93)-YEAR(cr_out_date))*12+MONTH($B93)-MONTH(cr_out_date),3)=0)))&gt;0,cr_out_name,"")),"")</f>
        <v/>
      </c>
      <c r="D93" s="43">
        <f>SUMPRODUCT(cr_in_amt*(cr_in_date&gt;0)*(cr_in_date&lt;=$B93)*(((cr_in_rep="Once")+(cr_in_rep=""))*(cr_in_date=$B93)+(cr_in_rep="Every day")+(cr_in_rep="Weekly")*(MOD($B93-cr_in_date,7)=0)+(cr_in_rep="Every 2 weeks")*(MOD($B93-cr_in_date,14)=0)+(cr_in_rep="Monthly")*(((DAY(cr_in_date)=DAY($B93))+(DAY($B93)=DAY(EOMONTH($B93,0)))*(DAY(cr_in_date)&gt;DAY($B93)))&gt;0)+(cr_in_rep="Quarterly")*(((DAY(cr_in_date)=DAY($B93))+(DAY($B93)=DAY(EOMONTH($B93,0)))*(DAY(cr_in_date)&gt;DAY($B93)))&gt;0)*(MOD((YEAR($B93)-YEAR(cr_in_date))*12+MONTH($B93)-MONTH(cr_in_date),3)=0)))</f>
        <v>0.0</v>
      </c>
      <c r="E93" s="43">
        <f>SUMPRODUCT(cr_out_amt*(cr_out_date&gt;0)*(cr_out_date&lt;=$B93)*(((cr_out_rep="Once")+(cr_out_rep=""))*(cr_out_date=$B93)+(cr_out_rep="Every day")+(cr_out_rep="Weekly")*(MOD($B93-cr_out_date,7)=0)+(cr_out_rep="Every 2 weeks")*(MOD($B93-cr_out_date,14)=0)+(cr_out_rep="Monthly")*(((DAY(cr_out_date)=DAY($B93))+(DAY($B93)=DAY(EOMONTH($B93,0)))*(DAY(cr_out_date)&gt;DAY($B93)))&gt;0)+(cr_out_rep="Quarterly")*(((DAY(cr_out_date)=DAY($B93))+(DAY($B93)=DAY(EOMONTH($B93,0)))*(DAY(cr_out_date)&gt;DAY($B93)))&gt;0)*(MOD((YEAR($B93)-YEAR(cr_out_date))*12+MONTH($B93)-MONTH(cr_out_date),3)=0)))</f>
        <v>0.0</v>
      </c>
      <c r="F93" s="44">
        <f>F92+D93-E93</f>
        <v>13280.0</v>
      </c>
      <c r="G93" s="45">
        <f>F93-cr_floor</f>
        <v>8280.0</v>
      </c>
      <c r="H93" s="46">
        <f>F93-cr_big_amt*($B93&gt;=cr_big_date)*($B93&lt;cr_big_date+cr_late)</f>
        <v>13280.0</v>
      </c>
    </row>
    <row r="94" spans="2:8" s="1" customFormat="1">
      <c r="B94" s="41">
        <f>B93+1</f>
        <v>46415.0</v>
      </c>
      <c r="C94" s="42" t="str">
        <f t="array" ref="C94">IFERROR(_xlfn.TEXTJOIN("  ·  ",TRUE,IF((cr_in_amt&gt;0)*((cr_in_date&gt;0)*(cr_in_date&lt;=$B94)*(((cr_in_rep="Once")+(cr_in_rep=""))*(cr_in_date=$B94)+(cr_in_rep="Every day")+(cr_in_rep="Weekly")*(MOD($B94-cr_in_date,7)=0)+(cr_in_rep="Every 2 weeks")*(MOD($B94-cr_in_date,14)=0)+(cr_in_rep="Monthly")*(((DAY(cr_in_date)=DAY($B94))+(DAY($B94)=DAY(EOMONTH($B94,0)))*(DAY(cr_in_date)&gt;DAY($B94)))&gt;0)+(cr_in_rep="Quarterly")*(((DAY(cr_in_date)=DAY($B94))+(DAY($B94)=DAY(EOMONTH($B94,0)))*(DAY(cr_in_date)&gt;DAY($B94)))&gt;0)*(MOD((YEAR($B94)-YEAR(cr_in_date))*12+MONTH($B94)-MONTH(cr_in_date),3)=0)))&gt;0,"+ "&amp;cr_in_name,""),IF((cr_out_amt&gt;0)*((cr_out_date&gt;0)*(cr_out_date&lt;=$B94)*(((cr_out_rep="Once")+(cr_out_rep=""))*(cr_out_date=$B94)+(cr_out_rep="Every day")+(cr_out_rep="Weekly")*(MOD($B94-cr_out_date,7)=0)+(cr_out_rep="Every 2 weeks")*(MOD($B94-cr_out_date,14)=0)+(cr_out_rep="Monthly")*(((DAY(cr_out_date)=DAY($B94))+(DAY($B94)=DAY(EOMONTH($B94,0)))*(DAY(cr_out_date)&gt;DAY($B94)))&gt;0)+(cr_out_rep="Quarterly")*(((DAY(cr_out_date)=DAY($B94))+(DAY($B94)=DAY(EOMONTH($B94,0)))*(DAY(cr_out_date)&gt;DAY($B94)))&gt;0)*(MOD((YEAR($B94)-YEAR(cr_out_date))*12+MONTH($B94)-MONTH(cr_out_date),3)=0)))&gt;0,cr_out_name,"")),"")</f>
        <v/>
      </c>
      <c r="D94" s="43">
        <f>SUMPRODUCT(cr_in_amt*(cr_in_date&gt;0)*(cr_in_date&lt;=$B94)*(((cr_in_rep="Once")+(cr_in_rep=""))*(cr_in_date=$B94)+(cr_in_rep="Every day")+(cr_in_rep="Weekly")*(MOD($B94-cr_in_date,7)=0)+(cr_in_rep="Every 2 weeks")*(MOD($B94-cr_in_date,14)=0)+(cr_in_rep="Monthly")*(((DAY(cr_in_date)=DAY($B94))+(DAY($B94)=DAY(EOMONTH($B94,0)))*(DAY(cr_in_date)&gt;DAY($B94)))&gt;0)+(cr_in_rep="Quarterly")*(((DAY(cr_in_date)=DAY($B94))+(DAY($B94)=DAY(EOMONTH($B94,0)))*(DAY(cr_in_date)&gt;DAY($B94)))&gt;0)*(MOD((YEAR($B94)-YEAR(cr_in_date))*12+MONTH($B94)-MONTH(cr_in_date),3)=0)))</f>
        <v>0.0</v>
      </c>
      <c r="E94" s="43">
        <f>SUMPRODUCT(cr_out_amt*(cr_out_date&gt;0)*(cr_out_date&lt;=$B94)*(((cr_out_rep="Once")+(cr_out_rep=""))*(cr_out_date=$B94)+(cr_out_rep="Every day")+(cr_out_rep="Weekly")*(MOD($B94-cr_out_date,7)=0)+(cr_out_rep="Every 2 weeks")*(MOD($B94-cr_out_date,14)=0)+(cr_out_rep="Monthly")*(((DAY(cr_out_date)=DAY($B94))+(DAY($B94)=DAY(EOMONTH($B94,0)))*(DAY(cr_out_date)&gt;DAY($B94)))&gt;0)+(cr_out_rep="Quarterly")*(((DAY(cr_out_date)=DAY($B94))+(DAY($B94)=DAY(EOMONTH($B94,0)))*(DAY(cr_out_date)&gt;DAY($B94)))&gt;0)*(MOD((YEAR($B94)-YEAR(cr_out_date))*12+MONTH($B94)-MONTH(cr_out_date),3)=0)))</f>
        <v>0.0</v>
      </c>
      <c r="F94" s="44">
        <f>F93+D94-E94</f>
        <v>13280.0</v>
      </c>
      <c r="G94" s="45">
        <f>F94-cr_floor</f>
        <v>8280.0</v>
      </c>
      <c r="H94" s="46">
        <f>F94-cr_big_amt*($B94&gt;=cr_big_date)*($B94&lt;cr_big_date+cr_late)</f>
        <v>13280.0</v>
      </c>
    </row>
    <row r="95" spans="2:8" s="1" customFormat="1">
      <c r="B95" s="41">
        <f>B94+1</f>
        <v>46416.0</v>
      </c>
      <c r="C95" s="42" t="str">
        <f t="array" ref="C95">IFERROR(_xlfn.TEXTJOIN("  ·  ",TRUE,IF((cr_in_amt&gt;0)*((cr_in_date&gt;0)*(cr_in_date&lt;=$B95)*(((cr_in_rep="Once")+(cr_in_rep=""))*(cr_in_date=$B95)+(cr_in_rep="Every day")+(cr_in_rep="Weekly")*(MOD($B95-cr_in_date,7)=0)+(cr_in_rep="Every 2 weeks")*(MOD($B95-cr_in_date,14)=0)+(cr_in_rep="Monthly")*(((DAY(cr_in_date)=DAY($B95))+(DAY($B95)=DAY(EOMONTH($B95,0)))*(DAY(cr_in_date)&gt;DAY($B95)))&gt;0)+(cr_in_rep="Quarterly")*(((DAY(cr_in_date)=DAY($B95))+(DAY($B95)=DAY(EOMONTH($B95,0)))*(DAY(cr_in_date)&gt;DAY($B95)))&gt;0)*(MOD((YEAR($B95)-YEAR(cr_in_date))*12+MONTH($B95)-MONTH(cr_in_date),3)=0)))&gt;0,"+ "&amp;cr_in_name,""),IF((cr_out_amt&gt;0)*((cr_out_date&gt;0)*(cr_out_date&lt;=$B95)*(((cr_out_rep="Once")+(cr_out_rep=""))*(cr_out_date=$B95)+(cr_out_rep="Every day")+(cr_out_rep="Weekly")*(MOD($B95-cr_out_date,7)=0)+(cr_out_rep="Every 2 weeks")*(MOD($B95-cr_out_date,14)=0)+(cr_out_rep="Monthly")*(((DAY(cr_out_date)=DAY($B95))+(DAY($B95)=DAY(EOMONTH($B95,0)))*(DAY(cr_out_date)&gt;DAY($B95)))&gt;0)+(cr_out_rep="Quarterly")*(((DAY(cr_out_date)=DAY($B95))+(DAY($B95)=DAY(EOMONTH($B95,0)))*(DAY(cr_out_date)&gt;DAY($B95)))&gt;0)*(MOD((YEAR($B95)-YEAR(cr_out_date))*12+MONTH($B95)-MONTH(cr_out_date),3)=0)))&gt;0,cr_out_name,"")),"")</f>
        <v>+ Shop takings (typical week)  ·  Wages</v>
      </c>
      <c r="D95" s="43">
        <f>SUMPRODUCT(cr_in_amt*(cr_in_date&gt;0)*(cr_in_date&lt;=$B95)*(((cr_in_rep="Once")+(cr_in_rep=""))*(cr_in_date=$B95)+(cr_in_rep="Every day")+(cr_in_rep="Weekly")*(MOD($B95-cr_in_date,7)=0)+(cr_in_rep="Every 2 weeks")*(MOD($B95-cr_in_date,14)=0)+(cr_in_rep="Monthly")*(((DAY(cr_in_date)=DAY($B95))+(DAY($B95)=DAY(EOMONTH($B95,0)))*(DAY(cr_in_date)&gt;DAY($B95)))&gt;0)+(cr_in_rep="Quarterly")*(((DAY(cr_in_date)=DAY($B95))+(DAY($B95)=DAY(EOMONTH($B95,0)))*(DAY(cr_in_date)&gt;DAY($B95)))&gt;0)*(MOD((YEAR($B95)-YEAR(cr_in_date))*12+MONTH($B95)-MONTH(cr_in_date),3)=0)))</f>
        <v>2600.0</v>
      </c>
      <c r="E95" s="43">
        <f>SUMPRODUCT(cr_out_amt*(cr_out_date&gt;0)*(cr_out_date&lt;=$B95)*(((cr_out_rep="Once")+(cr_out_rep=""))*(cr_out_date=$B95)+(cr_out_rep="Every day")+(cr_out_rep="Weekly")*(MOD($B95-cr_out_date,7)=0)+(cr_out_rep="Every 2 weeks")*(MOD($B95-cr_out_date,14)=0)+(cr_out_rep="Monthly")*(((DAY(cr_out_date)=DAY($B95))+(DAY($B95)=DAY(EOMONTH($B95,0)))*(DAY(cr_out_date)&gt;DAY($B95)))&gt;0)+(cr_out_rep="Quarterly")*(((DAY(cr_out_date)=DAY($B95))+(DAY($B95)=DAY(EOMONTH($B95,0)))*(DAY(cr_out_date)&gt;DAY($B95)))&gt;0)*(MOD((YEAR($B95)-YEAR(cr_out_date))*12+MONTH($B95)-MONTH(cr_out_date),3)=0)))</f>
        <v>3400.0</v>
      </c>
      <c r="F95" s="44">
        <f>F94+D95-E95</f>
        <v>12480.0</v>
      </c>
      <c r="G95" s="45">
        <f>F95-cr_floor</f>
        <v>7480.0</v>
      </c>
      <c r="H95" s="46">
        <f>F95-cr_big_amt*($B95&gt;=cr_big_date)*($B95&lt;cr_big_date+cr_late)</f>
        <v>12480.0</v>
      </c>
    </row>
    <row r="96" spans="2:8" s="1" customFormat="1">
      <c r="B96" s="47">
        <f>B95+1</f>
        <v>46417.0</v>
      </c>
      <c r="C96" s="48" t="str">
        <f t="array" ref="C96">IFERROR(_xlfn.TEXTJOIN("  ·  ",TRUE,IF((cr_in_amt&gt;0)*((cr_in_date&gt;0)*(cr_in_date&lt;=$B96)*(((cr_in_rep="Once")+(cr_in_rep=""))*(cr_in_date=$B96)+(cr_in_rep="Every day")+(cr_in_rep="Weekly")*(MOD($B96-cr_in_date,7)=0)+(cr_in_rep="Every 2 weeks")*(MOD($B96-cr_in_date,14)=0)+(cr_in_rep="Monthly")*(((DAY(cr_in_date)=DAY($B96))+(DAY($B96)=DAY(EOMONTH($B96,0)))*(DAY(cr_in_date)&gt;DAY($B96)))&gt;0)+(cr_in_rep="Quarterly")*(((DAY(cr_in_date)=DAY($B96))+(DAY($B96)=DAY(EOMONTH($B96,0)))*(DAY(cr_in_date)&gt;DAY($B96)))&gt;0)*(MOD((YEAR($B96)-YEAR(cr_in_date))*12+MONTH($B96)-MONTH(cr_in_date),3)=0)))&gt;0,"+ "&amp;cr_in_name,""),IF((cr_out_amt&gt;0)*((cr_out_date&gt;0)*(cr_out_date&lt;=$B96)*(((cr_out_rep="Once")+(cr_out_rep=""))*(cr_out_date=$B96)+(cr_out_rep="Every day")+(cr_out_rep="Weekly")*(MOD($B96-cr_out_date,7)=0)+(cr_out_rep="Every 2 weeks")*(MOD($B96-cr_out_date,14)=0)+(cr_out_rep="Monthly")*(((DAY(cr_out_date)=DAY($B96))+(DAY($B96)=DAY(EOMONTH($B96,0)))*(DAY(cr_out_date)&gt;DAY($B96)))&gt;0)+(cr_out_rep="Quarterly")*(((DAY(cr_out_date)=DAY($B96))+(DAY($B96)=DAY(EOMONTH($B96,0)))*(DAY(cr_out_date)&gt;DAY($B96)))&gt;0)*(MOD((YEAR($B96)-YEAR(cr_out_date))*12+MONTH($B96)-MONTH(cr_out_date),3)=0)))&gt;0,cr_out_name,"")),"")</f>
        <v/>
      </c>
      <c r="D96" s="49">
        <f>SUMPRODUCT(cr_in_amt*(cr_in_date&gt;0)*(cr_in_date&lt;=$B96)*(((cr_in_rep="Once")+(cr_in_rep=""))*(cr_in_date=$B96)+(cr_in_rep="Every day")+(cr_in_rep="Weekly")*(MOD($B96-cr_in_date,7)=0)+(cr_in_rep="Every 2 weeks")*(MOD($B96-cr_in_date,14)=0)+(cr_in_rep="Monthly")*(((DAY(cr_in_date)=DAY($B96))+(DAY($B96)=DAY(EOMONTH($B96,0)))*(DAY(cr_in_date)&gt;DAY($B96)))&gt;0)+(cr_in_rep="Quarterly")*(((DAY(cr_in_date)=DAY($B96))+(DAY($B96)=DAY(EOMONTH($B96,0)))*(DAY(cr_in_date)&gt;DAY($B96)))&gt;0)*(MOD((YEAR($B96)-YEAR(cr_in_date))*12+MONTH($B96)-MONTH(cr_in_date),3)=0)))</f>
        <v>0.0</v>
      </c>
      <c r="E96" s="49">
        <f>SUMPRODUCT(cr_out_amt*(cr_out_date&gt;0)*(cr_out_date&lt;=$B96)*(((cr_out_rep="Once")+(cr_out_rep=""))*(cr_out_date=$B96)+(cr_out_rep="Every day")+(cr_out_rep="Weekly")*(MOD($B96-cr_out_date,7)=0)+(cr_out_rep="Every 2 weeks")*(MOD($B96-cr_out_date,14)=0)+(cr_out_rep="Monthly")*(((DAY(cr_out_date)=DAY($B96))+(DAY($B96)=DAY(EOMONTH($B96,0)))*(DAY(cr_out_date)&gt;DAY($B96)))&gt;0)+(cr_out_rep="Quarterly")*(((DAY(cr_out_date)=DAY($B96))+(DAY($B96)=DAY(EOMONTH($B96,0)))*(DAY(cr_out_date)&gt;DAY($B96)))&gt;0)*(MOD((YEAR($B96)-YEAR(cr_out_date))*12+MONTH($B96)-MONTH(cr_out_date),3)=0)))</f>
        <v>0.0</v>
      </c>
      <c r="F96" s="38">
        <f>F95+D96-E96</f>
        <v>12480.0</v>
      </c>
      <c r="G96" s="39">
        <f>F96-cr_floor</f>
        <v>7480.0</v>
      </c>
      <c r="H96" s="40">
        <f>F96-cr_big_amt*($B96&gt;=cr_big_date)*($B96&lt;cr_big_date+cr_late)</f>
        <v>12480.0</v>
      </c>
    </row>
    <row r="97" spans="2:8" s="1" customFormat="1">
      <c r="B97" s="50"/>
      <c r="C97" s="51" t="s">
        <v>46</v>
      </c>
      <c r="D97" s="52">
        <f>SUM(D7:D96)</f>
        <v>51300.0</v>
      </c>
      <c r="E97" s="52">
        <f>SUM(E7:E96)</f>
        <v>50220.0</v>
      </c>
      <c r="F97" s="52">
        <f>F6+D97-E97</f>
        <v>12480.0</v>
      </c>
      <c r="G97" s="52">
        <f>F97-cr_floor</f>
        <v>7480.0</v>
      </c>
      <c r="H97" s="52">
        <f>H96</f>
        <v>12480.0</v>
      </c>
    </row>
    <row r="98" spans="2:8" s="1" customFormat="1"/>
    <row r="99" spans="2:8" s="1" customFormat="1"/>
    <row r="100" spans="2:8" s="1" customFormat="1"/>
    <row r="101" spans="2:8" s="1" customFormat="1"/>
    <row r="102" spans="2:8" s="1" customFormat="1"/>
    <row r="103" spans="2:8" s="1" customFormat="1"/>
    <row r="104" spans="2:8" s="1" customFormat="1"/>
    <row r="105" spans="2:8" s="1" customFormat="1"/>
    <row r="106" spans="2:8" s="1" customFormat="1"/>
    <row r="107" spans="2:8" s="1" customFormat="1"/>
    <row r="108" spans="2:8" s="1" customFormat="1"/>
    <row r="109" spans="2:8" s="1" customFormat="1"/>
    <row r="110" spans="2:8" s="1" customFormat="1"/>
    <row r="111" spans="2:8" s="1" customFormat="1"/>
    <row r="112" spans="2:8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</sheetData>
  <sheetProtection sheet="1" objects="1" scenarios="1" formatColumns="0" formatRows="0" autoFilter="0"/>
  <autoFilter ref="B5:H96"/>
  <conditionalFormatting sqref="B7:H96">
    <cfRule type="expression" dxfId="1" priority="1">
      <formula>$B7=cr_low_date</formula>
    </cfRule>
  </conditionalFormatting>
  <conditionalFormatting sqref="F7:F96">
    <cfRule type="expression" dxfId="2" priority="2">
      <formula>$F7&lt;cr_floor</formula>
    </cfRule>
  </conditionalFormatting>
  <conditionalFormatting sqref="H7:H96">
    <cfRule type="expression" dxfId="2" priority="3">
      <formula>$H7&lt;cr_floor</formula>
    </cfRule>
  </conditionalFormatting>
  <conditionalFormatting sqref="B7:F96">
    <cfRule type="expression" dxfId="3" priority="4">
      <formula>AND($D7=0,$E7=0)</formula>
    </cfRule>
  </conditionalFormatting>
  <pageMargins left="0.4" right="0.4" top="0.45" bottom="0.45" header="0.3" footer="0.3"/>
  <pageSetup paperSize="9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7E9E8A"/>
    <pageSetUpPr fitToPage="1"/>
  </sheetPr>
  <dimension ref="A1:XFD130"/>
  <sheetViews>
    <sheetView showGridLines="0" workbookViewId="0"/>
  </sheetViews>
  <sheetFormatPr defaultRowHeight="15"/>
  <cols>
    <col min="1" max="1" width="3.28515625" style="1" customWidth="1"/>
    <col min="2" max="2" width="6.7109375" style="1" customWidth="1"/>
    <col min="3" max="4" width="12.7109375" style="1" customWidth="1"/>
    <col min="5" max="10" width="13.28515625" style="1" customWidth="1"/>
    <col min="11" max="11" width="18.7109375" style="1" customWidth="1"/>
    <col min="12" max="12" width="3.28515625" style="1" customWidth="1"/>
    <col min="13" max="16384" width="0" style="1" hidden="1" customWidth="1"/>
  </cols>
  <sheetData>
    <row r="1" spans="2:11" s="1" customFormat="1"/>
    <row r="2" spans="2:11" s="1" customFormat="1" ht="30" customHeight="1">
      <c r="B2" s="22" t="s">
        <v>107</v>
      </c>
    </row>
    <row r="3" spans="2:11" s="1" customFormat="1">
      <c r="B3" s="24" t="s">
        <v>108</v>
      </c>
    </row>
    <row r="4" spans="2:11" s="1" customFormat="1"/>
    <row r="5" spans="2:11" s="1" customFormat="1" ht="24" customHeight="1">
      <c r="B5" s="30" t="s">
        <v>109</v>
      </c>
      <c r="C5" s="30" t="s">
        <v>110</v>
      </c>
      <c r="D5" s="30" t="s">
        <v>111</v>
      </c>
      <c r="E5" s="31" t="s">
        <v>112</v>
      </c>
      <c r="F5" s="31" t="s">
        <v>40</v>
      </c>
      <c r="G5" s="31" t="s">
        <v>41</v>
      </c>
      <c r="H5" s="31" t="s">
        <v>113</v>
      </c>
      <c r="I5" s="31" t="s">
        <v>114</v>
      </c>
      <c r="J5" s="31" t="s">
        <v>43</v>
      </c>
      <c r="K5" s="30" t="s">
        <v>115</v>
      </c>
    </row>
    <row r="6" spans="2:11" s="1" customFormat="1" ht="21" customHeight="1">
      <c r="B6" s="53">
        <v>1</v>
      </c>
      <c r="C6" s="54">
        <f>'Forecast'!B7</f>
        <v>46328.0</v>
      </c>
      <c r="D6" s="54">
        <f>'Forecast'!B13</f>
        <v>46334.0</v>
      </c>
      <c r="E6" s="55">
        <f>'Forecast'!F6</f>
        <v>11400.0</v>
      </c>
      <c r="F6" s="56">
        <f>SUM('Forecast'!D7:D13)</f>
        <v>2600.0</v>
      </c>
      <c r="G6" s="56">
        <f>SUM('Forecast'!E7:E13)</f>
        <v>3400.0</v>
      </c>
      <c r="H6" s="57">
        <f>E6+F6-G6</f>
        <v>10600.0</v>
      </c>
      <c r="I6" s="58">
        <f>MIN('Forecast'!F7:F13)</f>
        <v>10600.0</v>
      </c>
      <c r="J6" s="55">
        <f>I6-cr_floor</f>
        <v>5600.0</v>
      </c>
      <c r="K6" s="59" t="str">
        <f>IF(I6&lt;0,"Below zero",IF(I6&lt;cr_floor,"Below your floor",""))</f>
        <v/>
      </c>
    </row>
    <row r="7" spans="2:11" s="1" customFormat="1" ht="21" customHeight="1">
      <c r="B7" s="53">
        <v>2</v>
      </c>
      <c r="C7" s="54">
        <f>'Forecast'!B14</f>
        <v>46335.0</v>
      </c>
      <c r="D7" s="54">
        <f>'Forecast'!B20</f>
        <v>46341.0</v>
      </c>
      <c r="E7" s="55">
        <f>'Forecast'!F13</f>
        <v>10600.0</v>
      </c>
      <c r="F7" s="56">
        <f>SUM('Forecast'!D14:D20)</f>
        <v>2600.0</v>
      </c>
      <c r="G7" s="56">
        <f>SUM('Forecast'!E14:E20)</f>
        <v>2040.0</v>
      </c>
      <c r="H7" s="57">
        <f>E7+F7-G7</f>
        <v>11160.0</v>
      </c>
      <c r="I7" s="58">
        <f>MIN('Forecast'!F14:F20)</f>
        <v>10410.0</v>
      </c>
      <c r="J7" s="55">
        <f>I7-cr_floor</f>
        <v>5410.0</v>
      </c>
      <c r="K7" s="59" t="str">
        <f>IF(I7&lt;0,"Below zero",IF(I7&lt;cr_floor,"Below your floor",""))</f>
        <v/>
      </c>
    </row>
    <row r="8" spans="2:11" s="1" customFormat="1" ht="21" customHeight="1">
      <c r="B8" s="53">
        <v>3</v>
      </c>
      <c r="C8" s="54">
        <f>'Forecast'!B21</f>
        <v>46342.0</v>
      </c>
      <c r="D8" s="54">
        <f>'Forecast'!B27</f>
        <v>46348.0</v>
      </c>
      <c r="E8" s="55">
        <f>'Forecast'!F20</f>
        <v>11160.0</v>
      </c>
      <c r="F8" s="56">
        <f>SUM('Forecast'!D21:D27)</f>
        <v>12400.0</v>
      </c>
      <c r="G8" s="56">
        <f>SUM('Forecast'!E21:E27)</f>
        <v>3400.0</v>
      </c>
      <c r="H8" s="57">
        <f>E8+F8-G8</f>
        <v>20160.0</v>
      </c>
      <c r="I8" s="58">
        <f>MIN('Forecast'!F21:F27)</f>
        <v>11160.0</v>
      </c>
      <c r="J8" s="55">
        <f>I8-cr_floor</f>
        <v>6160.0</v>
      </c>
      <c r="K8" s="59" t="str">
        <f>IF(I8&lt;0,"Below zero",IF(I8&lt;cr_floor,"Below your floor",""))</f>
        <v/>
      </c>
    </row>
    <row r="9" spans="2:11" s="1" customFormat="1" ht="21" customHeight="1">
      <c r="B9" s="53">
        <v>4</v>
      </c>
      <c r="C9" s="54">
        <f>'Forecast'!B28</f>
        <v>46349.0</v>
      </c>
      <c r="D9" s="54">
        <f>'Forecast'!B34</f>
        <v>46355.0</v>
      </c>
      <c r="E9" s="55">
        <f>'Forecast'!F27</f>
        <v>20160.0</v>
      </c>
      <c r="F9" s="56">
        <f>SUM('Forecast'!D28:D34)</f>
        <v>2600.0</v>
      </c>
      <c r="G9" s="56">
        <f>SUM('Forecast'!E28:E34)</f>
        <v>4400.0</v>
      </c>
      <c r="H9" s="57">
        <f>E9+F9-G9</f>
        <v>18360.0</v>
      </c>
      <c r="I9" s="58">
        <f>MIN('Forecast'!F28:F34)</f>
        <v>18360.0</v>
      </c>
      <c r="J9" s="55">
        <f>I9-cr_floor</f>
        <v>13360.0</v>
      </c>
      <c r="K9" s="59" t="str">
        <f>IF(I9&lt;0,"Below zero",IF(I9&lt;cr_floor,"Below your floor",""))</f>
        <v/>
      </c>
    </row>
    <row r="10" spans="2:11" s="1" customFormat="1" ht="21" customHeight="1">
      <c r="B10" s="53">
        <v>5</v>
      </c>
      <c r="C10" s="54">
        <f>'Forecast'!B35</f>
        <v>46356.0</v>
      </c>
      <c r="D10" s="54">
        <f>'Forecast'!B41</f>
        <v>46362.0</v>
      </c>
      <c r="E10" s="55">
        <f>'Forecast'!F34</f>
        <v>18360.0</v>
      </c>
      <c r="F10" s="56">
        <f>SUM('Forecast'!D35:D41)</f>
        <v>2600.0</v>
      </c>
      <c r="G10" s="56">
        <f>SUM('Forecast'!E35:E41)</f>
        <v>11300.0</v>
      </c>
      <c r="H10" s="57">
        <f>E10+F10-G10</f>
        <v>9660.0</v>
      </c>
      <c r="I10" s="58">
        <f>MIN('Forecast'!F35:F41)</f>
        <v>9660.0</v>
      </c>
      <c r="J10" s="55">
        <f>I10-cr_floor</f>
        <v>4660.0</v>
      </c>
      <c r="K10" s="59" t="str">
        <f>IF(I10&lt;0,"Below zero",IF(I10&lt;cr_floor,"Below your floor",""))</f>
        <v/>
      </c>
    </row>
    <row r="11" spans="2:11" s="1" customFormat="1" ht="21" customHeight="1">
      <c r="B11" s="53">
        <v>6</v>
      </c>
      <c r="C11" s="54">
        <f>'Forecast'!B42</f>
        <v>46363.0</v>
      </c>
      <c r="D11" s="54">
        <f>'Forecast'!B48</f>
        <v>46369.0</v>
      </c>
      <c r="E11" s="55">
        <f>'Forecast'!F41</f>
        <v>9660.0</v>
      </c>
      <c r="F11" s="56">
        <f>SUM('Forecast'!D42:D48)</f>
        <v>2600.0</v>
      </c>
      <c r="G11" s="56">
        <f>SUM('Forecast'!E42:E48)</f>
        <v>3090.0</v>
      </c>
      <c r="H11" s="57">
        <f>E11+F11-G11</f>
        <v>9170.0</v>
      </c>
      <c r="I11" s="58">
        <f>MIN('Forecast'!F42:F48)</f>
        <v>6570.0</v>
      </c>
      <c r="J11" s="55">
        <f>I11-cr_floor</f>
        <v>1570.0</v>
      </c>
      <c r="K11" s="59" t="str">
        <f>IF(I11&lt;0,"Below zero",IF(I11&lt;cr_floor,"Below your floor",""))</f>
        <v/>
      </c>
    </row>
    <row r="12" spans="2:11" s="1" customFormat="1" ht="21" customHeight="1">
      <c r="B12" s="53">
        <v>7</v>
      </c>
      <c r="C12" s="54">
        <f>'Forecast'!B49</f>
        <v>46370.0</v>
      </c>
      <c r="D12" s="54">
        <f>'Forecast'!B55</f>
        <v>46376.0</v>
      </c>
      <c r="E12" s="55">
        <f>'Forecast'!F48</f>
        <v>9170.0</v>
      </c>
      <c r="F12" s="56">
        <f>SUM('Forecast'!D49:D55)</f>
        <v>6100.0</v>
      </c>
      <c r="G12" s="56">
        <f>SUM('Forecast'!E49:E55)</f>
        <v>6750.0</v>
      </c>
      <c r="H12" s="57">
        <f>E12+F12-G12</f>
        <v>8520.0</v>
      </c>
      <c r="I12" s="58">
        <f>MIN('Forecast'!F49:F55)</f>
        <v>8520.0</v>
      </c>
      <c r="J12" s="55">
        <f>I12-cr_floor</f>
        <v>3520.0</v>
      </c>
      <c r="K12" s="59" t="str">
        <f>IF(I12&lt;0,"Below zero",IF(I12&lt;cr_floor,"Below your floor",""))</f>
        <v/>
      </c>
    </row>
    <row r="13" spans="2:11" s="1" customFormat="1" ht="21" customHeight="1">
      <c r="B13" s="53">
        <v>8</v>
      </c>
      <c r="C13" s="54">
        <f>'Forecast'!B56</f>
        <v>46377.0</v>
      </c>
      <c r="D13" s="54">
        <f>'Forecast'!B62</f>
        <v>46383.0</v>
      </c>
      <c r="E13" s="55">
        <f>'Forecast'!F55</f>
        <v>8520.0</v>
      </c>
      <c r="F13" s="56">
        <f>SUM('Forecast'!D56:D62)</f>
        <v>2600.0</v>
      </c>
      <c r="G13" s="56">
        <f>SUM('Forecast'!E56:E62)</f>
        <v>0.0</v>
      </c>
      <c r="H13" s="57">
        <f>E13+F13-G13</f>
        <v>11120.0</v>
      </c>
      <c r="I13" s="58">
        <f>MIN('Forecast'!F56:F62)</f>
        <v>8520.0</v>
      </c>
      <c r="J13" s="55">
        <f>I13-cr_floor</f>
        <v>3520.0</v>
      </c>
      <c r="K13" s="59" t="str">
        <f>IF(I13&lt;0,"Below zero",IF(I13&lt;cr_floor,"Below your floor",""))</f>
        <v/>
      </c>
    </row>
    <row r="14" spans="2:11" s="1" customFormat="1" ht="21" customHeight="1">
      <c r="B14" s="53">
        <v>9</v>
      </c>
      <c r="C14" s="54">
        <f>'Forecast'!B63</f>
        <v>46384.0</v>
      </c>
      <c r="D14" s="54">
        <f>'Forecast'!B69</f>
        <v>46390.0</v>
      </c>
      <c r="E14" s="55">
        <f>'Forecast'!F62</f>
        <v>11120.0</v>
      </c>
      <c r="F14" s="56">
        <f>SUM('Forecast'!D63:D69)</f>
        <v>2600.0</v>
      </c>
      <c r="G14" s="56">
        <f>SUM('Forecast'!E63:E69)</f>
        <v>7000.0</v>
      </c>
      <c r="H14" s="57">
        <f>E14+F14-G14</f>
        <v>6720.0</v>
      </c>
      <c r="I14" s="58">
        <f>MIN('Forecast'!F63:F69)</f>
        <v>6720.0</v>
      </c>
      <c r="J14" s="55">
        <f>I14-cr_floor</f>
        <v>1720.0</v>
      </c>
      <c r="K14" s="59" t="str">
        <f>IF(I14&lt;0,"Below zero",IF(I14&lt;cr_floor,"Below your floor",""))</f>
        <v/>
      </c>
    </row>
    <row r="15" spans="2:11" s="1" customFormat="1" ht="21" customHeight="1">
      <c r="B15" s="53">
        <v>10</v>
      </c>
      <c r="C15" s="54">
        <f>'Forecast'!B70</f>
        <v>46391.0</v>
      </c>
      <c r="D15" s="54">
        <f>'Forecast'!B76</f>
        <v>46397.0</v>
      </c>
      <c r="E15" s="55">
        <f>'Forecast'!F69</f>
        <v>6720.0</v>
      </c>
      <c r="F15" s="56">
        <f>SUM('Forecast'!D70:D76)</f>
        <v>2600.0</v>
      </c>
      <c r="G15" s="56">
        <f>SUM('Forecast'!E70:E76)</f>
        <v>190.0</v>
      </c>
      <c r="H15" s="57">
        <f>E15+F15-G15</f>
        <v>9130.0</v>
      </c>
      <c r="I15" s="58">
        <f>MIN('Forecast'!F70:F76)</f>
        <v>6720.0</v>
      </c>
      <c r="J15" s="55">
        <f>I15-cr_floor</f>
        <v>1720.0</v>
      </c>
      <c r="K15" s="59" t="str">
        <f>IF(I15&lt;0,"Below zero",IF(I15&lt;cr_floor,"Below your floor",""))</f>
        <v/>
      </c>
    </row>
    <row r="16" spans="2:11" s="1" customFormat="1" ht="21" customHeight="1">
      <c r="B16" s="53">
        <v>11</v>
      </c>
      <c r="C16" s="54">
        <f>'Forecast'!B77</f>
        <v>46398.0</v>
      </c>
      <c r="D16" s="54">
        <f>'Forecast'!B83</f>
        <v>46404.0</v>
      </c>
      <c r="E16" s="55">
        <f>'Forecast'!F76</f>
        <v>9130.0</v>
      </c>
      <c r="F16" s="56">
        <f>SUM('Forecast'!D77:D83)</f>
        <v>2600.0</v>
      </c>
      <c r="G16" s="56">
        <f>SUM('Forecast'!E77:E83)</f>
        <v>5250.0</v>
      </c>
      <c r="H16" s="57">
        <f>E16+F16-G16</f>
        <v>6480.0</v>
      </c>
      <c r="I16" s="58">
        <f>MIN('Forecast'!F77:F83)</f>
        <v>6480.0</v>
      </c>
      <c r="J16" s="55">
        <f>I16-cr_floor</f>
        <v>1480.0</v>
      </c>
      <c r="K16" s="59" t="str">
        <f>IF(I16&lt;0,"Below zero",IF(I16&lt;cr_floor,"Below your floor",""))</f>
        <v/>
      </c>
    </row>
    <row r="17" spans="2:11" s="1" customFormat="1" ht="21" customHeight="1">
      <c r="B17" s="53">
        <v>12</v>
      </c>
      <c r="C17" s="54">
        <f>'Forecast'!B84</f>
        <v>46405.0</v>
      </c>
      <c r="D17" s="54">
        <f>'Forecast'!B90</f>
        <v>46411.0</v>
      </c>
      <c r="E17" s="55">
        <f>'Forecast'!F83</f>
        <v>6480.0</v>
      </c>
      <c r="F17" s="56">
        <f>SUM('Forecast'!D84:D90)</f>
        <v>6800.0</v>
      </c>
      <c r="G17" s="56">
        <f>SUM('Forecast'!E84:E90)</f>
        <v>0.0</v>
      </c>
      <c r="H17" s="57">
        <f>E17+F17-G17</f>
        <v>13280.0</v>
      </c>
      <c r="I17" s="58">
        <f>MIN('Forecast'!F84:F90)</f>
        <v>10680.0</v>
      </c>
      <c r="J17" s="55">
        <f>I17-cr_floor</f>
        <v>5680.0</v>
      </c>
      <c r="K17" s="59" t="str">
        <f>IF(I17&lt;0,"Below zero",IF(I17&lt;cr_floor,"Below your floor",""))</f>
        <v/>
      </c>
    </row>
    <row r="18" spans="2:11" s="1" customFormat="1" ht="21" customHeight="1">
      <c r="B18" s="53">
        <v>13</v>
      </c>
      <c r="C18" s="54">
        <f>'Forecast'!B91</f>
        <v>46412.0</v>
      </c>
      <c r="D18" s="54">
        <f>'Forecast'!B96</f>
        <v>46417.0</v>
      </c>
      <c r="E18" s="55">
        <f>'Forecast'!F90</f>
        <v>13280.0</v>
      </c>
      <c r="F18" s="56">
        <f>SUM('Forecast'!D91:D96)</f>
        <v>2600.0</v>
      </c>
      <c r="G18" s="56">
        <f>SUM('Forecast'!E91:E96)</f>
        <v>3400.0</v>
      </c>
      <c r="H18" s="57">
        <f>E18+F18-G18</f>
        <v>12480.0</v>
      </c>
      <c r="I18" s="58">
        <f>MIN('Forecast'!F91:F96)</f>
        <v>12480.0</v>
      </c>
      <c r="J18" s="55">
        <f>I18-cr_floor</f>
        <v>7480.0</v>
      </c>
      <c r="K18" s="59" t="str">
        <f>IF(I18&lt;0,"Below zero",IF(I18&lt;cr_floor,"Below your floor",""))</f>
        <v/>
      </c>
    </row>
    <row r="19" spans="2:11" s="1" customFormat="1">
      <c r="B19" s="50" t="s">
        <v>116</v>
      </c>
      <c r="C19" s="50"/>
      <c r="D19" s="50"/>
      <c r="E19" s="50"/>
      <c r="F19" s="52">
        <f>SUM(F6:F18)</f>
        <v>51300.0</v>
      </c>
      <c r="G19" s="52">
        <f>SUM(G6:G18)</f>
        <v>50220.0</v>
      </c>
      <c r="H19" s="52">
        <f>H18</f>
        <v>12480.0</v>
      </c>
      <c r="I19" s="52">
        <f>MIN(I6:I18)</f>
        <v>6480.0</v>
      </c>
      <c r="J19" s="52">
        <f>I19-cr_floor</f>
        <v>1480.0</v>
      </c>
      <c r="K19" s="50"/>
    </row>
    <row r="20" spans="2:11" s="1" customFormat="1"/>
    <row r="21" spans="2:11" s="1" customFormat="1"/>
    <row r="22" spans="2:11" s="1" customFormat="1"/>
    <row r="23" spans="2:11" s="1" customFormat="1"/>
    <row r="24" spans="2:11" s="1" customFormat="1"/>
    <row r="25" spans="2:11" s="1" customFormat="1"/>
    <row r="26" spans="2:11" s="1" customFormat="1"/>
    <row r="27" spans="2:11" s="1" customFormat="1"/>
    <row r="28" spans="2:11" s="1" customFormat="1"/>
    <row r="29" spans="2:11" s="1" customFormat="1"/>
    <row r="30" spans="2:11" s="1" customFormat="1"/>
    <row r="31" spans="2:11" s="1" customFormat="1"/>
    <row r="32" spans="2:11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</sheetData>
  <sheetProtection sheet="1" objects="1" scenarios="1" formatColumns="0" formatRows="0"/>
  <conditionalFormatting sqref="I6:I18">
    <cfRule type="expression" dxfId="0" priority="1">
      <formula>$I6&lt;cr_floor</formula>
    </cfRule>
  </conditionalFormatting>
  <conditionalFormatting sqref="B6:K18">
    <cfRule type="expression" dxfId="4" priority="2">
      <formula>$I6=cr_low</formula>
    </cfRule>
  </conditionalFormatting>
  <pageMargins left="0.4" right="0.4" top="0.45" bottom="0.4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C5D5C4"/>
    <pageSetUpPr fitToPage="1"/>
  </sheetPr>
  <dimension ref="A1:XFD130"/>
  <sheetViews>
    <sheetView showGridLines="0" workbookViewId="0"/>
  </sheetViews>
  <sheetFormatPr defaultRowHeight="15"/>
  <cols>
    <col min="1" max="1" width="3.28515625" style="1" customWidth="1"/>
    <col min="2" max="2" width="16.7109375" style="1" customWidth="1"/>
    <col min="3" max="3" width="92.7109375" style="1" customWidth="1"/>
    <col min="4" max="4" width="3.28515625" style="1" customWidth="1"/>
    <col min="5" max="16384" width="0" style="1" hidden="1" customWidth="1"/>
  </cols>
  <sheetData>
    <row r="1" spans="2:3" s="1" customFormat="1"/>
    <row r="2" spans="2:3" s="1" customFormat="1" ht="30" customHeight="1">
      <c r="B2" s="22" t="s">
        <v>117</v>
      </c>
    </row>
    <row r="3" spans="2:3" s="1" customFormat="1"/>
    <row r="4" spans="2:3" s="1" customFormat="1"/>
    <row r="5" spans="2:3" s="1" customFormat="1" ht="24" customHeight="1">
      <c r="B5" s="60" t="s">
        <v>118</v>
      </c>
      <c r="C5" s="9"/>
    </row>
    <row r="6" spans="2:3" s="1" customFormat="1" ht="21" customHeight="1">
      <c r="B6" s="61" t="s">
        <v>119</v>
      </c>
      <c r="C6" s="62" t="s">
        <v>120</v>
      </c>
    </row>
    <row r="7" spans="2:3" s="1" customFormat="1" ht="21" customHeight="1">
      <c r="B7" s="61" t="s">
        <v>121</v>
      </c>
      <c r="C7" s="62" t="s">
        <v>122</v>
      </c>
    </row>
    <row r="8" spans="2:3" s="1" customFormat="1" ht="21" customHeight="1">
      <c r="B8" s="61" t="s">
        <v>123</v>
      </c>
      <c r="C8" s="62" t="s">
        <v>124</v>
      </c>
    </row>
    <row r="9" spans="2:3" s="1" customFormat="1"/>
    <row r="10" spans="2:3" s="1" customFormat="1" ht="24" customHeight="1">
      <c r="B10" s="60" t="s">
        <v>125</v>
      </c>
      <c r="C10" s="9"/>
    </row>
    <row r="11" spans="2:3" s="1" customFormat="1" ht="21" customHeight="1">
      <c r="B11" s="63" t="s">
        <v>126</v>
      </c>
      <c r="C11" s="62" t="s">
        <v>127</v>
      </c>
    </row>
    <row r="12" spans="2:3" s="1" customFormat="1" ht="21" customHeight="1">
      <c r="B12" s="61" t="s">
        <v>128</v>
      </c>
      <c r="C12" s="62" t="s">
        <v>129</v>
      </c>
    </row>
    <row r="13" spans="2:3" s="1" customFormat="1" ht="21" customHeight="1">
      <c r="B13" s="64" t="s">
        <v>130</v>
      </c>
      <c r="C13" s="62" t="s">
        <v>131</v>
      </c>
    </row>
    <row r="14" spans="2:3" s="1" customFormat="1" ht="21" customHeight="1">
      <c r="B14" s="65" t="s">
        <v>132</v>
      </c>
      <c r="C14" s="62" t="s">
        <v>133</v>
      </c>
    </row>
    <row r="15" spans="2:3" s="1" customFormat="1"/>
    <row r="16" spans="2:3" s="1" customFormat="1" ht="24" customHeight="1">
      <c r="B16" s="60" t="s">
        <v>134</v>
      </c>
      <c r="C16" s="9"/>
    </row>
    <row r="17" spans="2:3" s="1" customFormat="1" ht="33.75" customHeight="1">
      <c r="B17" s="61" t="s">
        <v>13</v>
      </c>
      <c r="C17" s="62" t="s">
        <v>135</v>
      </c>
    </row>
    <row r="18" spans="2:3" s="1" customFormat="1" ht="33.75" customHeight="1">
      <c r="B18" s="61" t="s">
        <v>136</v>
      </c>
      <c r="C18" s="62" t="s">
        <v>137</v>
      </c>
    </row>
    <row r="19" spans="2:3" s="1" customFormat="1" ht="21" customHeight="1">
      <c r="B19" s="61" t="s">
        <v>138</v>
      </c>
      <c r="C19" s="62" t="s">
        <v>139</v>
      </c>
    </row>
    <row r="20" spans="2:3" s="1" customFormat="1" ht="21" customHeight="1">
      <c r="B20" s="61" t="s">
        <v>140</v>
      </c>
      <c r="C20" s="62" t="s">
        <v>141</v>
      </c>
    </row>
    <row r="21" spans="2:3" s="1" customFormat="1" ht="33.75" customHeight="1">
      <c r="B21" s="61" t="s">
        <v>142</v>
      </c>
      <c r="C21" s="62" t="s">
        <v>143</v>
      </c>
    </row>
    <row r="22" spans="2:3" s="1" customFormat="1" ht="33.75" customHeight="1">
      <c r="B22" s="61" t="s">
        <v>144</v>
      </c>
      <c r="C22" s="62" t="s">
        <v>145</v>
      </c>
    </row>
    <row r="23" spans="2:3" s="1" customFormat="1" ht="33.75" customHeight="1">
      <c r="B23" s="61" t="s">
        <v>146</v>
      </c>
      <c r="C23" s="62" t="s">
        <v>147</v>
      </c>
    </row>
    <row r="24" spans="2:3" s="1" customFormat="1"/>
    <row r="25" spans="2:3" s="1" customFormat="1"/>
    <row r="26" spans="2:3" s="1" customFormat="1"/>
    <row r="27" spans="2:3" s="1" customFormat="1"/>
    <row r="28" spans="2:3" s="1" customFormat="1"/>
    <row r="29" spans="2:3" s="1" customFormat="1"/>
    <row r="30" spans="2:3" s="1" customFormat="1"/>
    <row r="31" spans="2:3" s="1" customFormat="1"/>
    <row r="32" spans="2:3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</sheetData>
  <sheetProtection sheet="1" objects="1" scenarios="1" formatColumns="0" formatRows="0"/>
  <pageMargins left="0.4" right="0.4" top="0.45" bottom="0.4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C5D5C4"/>
  </sheetPr>
  <dimension ref="A1:AO130"/>
  <sheetViews>
    <sheetView showGridLines="0" workbookViewId="0"/>
  </sheetViews>
  <sheetFormatPr defaultRowHeight="15"/>
  <cols>
    <col min="1" max="1" width="3.28515625" style="1" customWidth="1"/>
    <col min="2" max="2" width="26.7109375" style="1" customWidth="1"/>
    <col min="3" max="3" width="60.7109375" style="1" customWidth="1"/>
    <col min="4" max="4" width="3.28515625" style="1" customWidth="1"/>
    <col min="5" max="16" width="11.7109375" style="1" customWidth="1"/>
    <col min="17" max="41" width="9.7109375" style="1" customWidth="1"/>
  </cols>
  <sheetData>
    <row r="1" spans="2:16" s="1" customFormat="1"/>
    <row r="2" spans="2:16" s="1" customFormat="1">
      <c r="B2" s="66" t="s">
        <v>47</v>
      </c>
    </row>
    <row r="3" spans="2:16" s="1" customFormat="1">
      <c r="B3" s="24" t="s">
        <v>48</v>
      </c>
    </row>
    <row r="4" spans="2:16" s="1" customFormat="1"/>
    <row r="5" spans="2:16" s="1" customFormat="1">
      <c r="E5" s="67" t="s">
        <v>77</v>
      </c>
      <c r="F5" s="67" t="s">
        <v>78</v>
      </c>
      <c r="G5" s="67" t="s">
        <v>79</v>
      </c>
      <c r="H5" s="67" t="s">
        <v>80</v>
      </c>
      <c r="I5" s="67" t="s">
        <v>81</v>
      </c>
      <c r="J5" s="67" t="s">
        <v>82</v>
      </c>
      <c r="K5" s="67" t="s">
        <v>83</v>
      </c>
      <c r="L5" s="67" t="s">
        <v>84</v>
      </c>
      <c r="M5" s="67" t="s">
        <v>85</v>
      </c>
      <c r="N5" s="67" t="s">
        <v>86</v>
      </c>
      <c r="O5" s="67" t="s">
        <v>87</v>
      </c>
      <c r="P5" s="67" t="s">
        <v>88</v>
      </c>
    </row>
    <row r="6" spans="2:16" s="1" customFormat="1">
      <c r="B6" s="68" t="s">
        <v>49</v>
      </c>
      <c r="C6" s="69">
        <f>cr_start+89</f>
        <v>46417.0</v>
      </c>
      <c r="E6" s="70">
        <f>'Forecast'!B7</f>
        <v>46328.0</v>
      </c>
      <c r="F6" s="71">
        <f>'Forecast'!F7</f>
        <v>11400.0</v>
      </c>
      <c r="G6" s="71">
        <f>cr_floor+0</f>
        <v>5000.0</v>
      </c>
      <c r="H6" s="71">
        <f>'Forecast'!H7</f>
        <v>11400.0</v>
      </c>
      <c r="I6" s="71" t="e">
        <f>IF(AND(E6=cr_low_date,cr_no_answer=0),F6,NA())</f>
        <v>#N/A</v>
      </c>
      <c r="J6" s="71" t="e">
        <f>IF(AND(E6=cr_late_date,cr_late_low&lt;cr_low,cr_no_answer=0),H6,NA())</f>
        <v>#N/A</v>
      </c>
      <c r="K6" s="71" t="e">
        <f>IF(E6=cr_last,F6,NA())</f>
        <v>#N/A</v>
      </c>
      <c r="L6" s="71" t="e">
        <f>IF(E6=cr_start+8,G6,NA())</f>
        <v>#N/A</v>
      </c>
      <c r="M6" s="71">
        <f>IF(F6&lt;cr_floor,1,0)</f>
        <v>0.0</v>
      </c>
      <c r="N6" s="71">
        <f>IF(H6&lt;cr_floor,1,0)</f>
        <v>0.0</v>
      </c>
      <c r="O6" s="71">
        <f>IF(F6&lt;0,1,0)</f>
        <v>0.0</v>
      </c>
      <c r="P6" s="71">
        <f>IF('Your numbers'!E14="Every day",0,IF(ISNUMBER('Your numbers'!F14),IF(AND('Your numbers'!F14&gt;=cr_start,'Your numbers'!F14&lt;=cr_last),'Your numbers'!D14,0),0))</f>
        <v>2600.0</v>
      </c>
    </row>
    <row r="7" spans="2:16" s="1" customFormat="1">
      <c r="B7" s="68" t="s">
        <v>50</v>
      </c>
      <c r="C7" s="72">
        <f>MIN('Forecast'!$F$7:$F$96)</f>
        <v>6480.0</v>
      </c>
      <c r="E7" s="70">
        <f>'Forecast'!B8</f>
        <v>46329.0</v>
      </c>
      <c r="F7" s="71">
        <f>'Forecast'!F8</f>
        <v>11400.0</v>
      </c>
      <c r="G7" s="71">
        <f>cr_floor+0</f>
        <v>5000.0</v>
      </c>
      <c r="H7" s="71">
        <f>'Forecast'!H8</f>
        <v>11400.0</v>
      </c>
      <c r="I7" s="71" t="e">
        <f>IF(AND(E7=cr_low_date,cr_no_answer=0),F7,NA())</f>
        <v>#N/A</v>
      </c>
      <c r="J7" s="71" t="e">
        <f>IF(AND(E7=cr_late_date,cr_late_low&lt;cr_low,cr_no_answer=0),H7,NA())</f>
        <v>#N/A</v>
      </c>
      <c r="K7" s="71" t="e">
        <f>IF(E7=cr_last,F7,NA())</f>
        <v>#N/A</v>
      </c>
      <c r="L7" s="71" t="e">
        <f>IF(E7=cr_start+8,G7,NA())</f>
        <v>#N/A</v>
      </c>
      <c r="M7" s="71">
        <f>IF(F7&lt;cr_floor,1,0)</f>
        <v>0.0</v>
      </c>
      <c r="N7" s="71">
        <f>IF(H7&lt;cr_floor,1,0)</f>
        <v>0.0</v>
      </c>
      <c r="O7" s="71">
        <f>IF(F7&lt;0,1,0)</f>
        <v>0.0</v>
      </c>
      <c r="P7" s="71">
        <f>IF('Your numbers'!E15="Every day",0,IF(ISNUMBER('Your numbers'!F15),IF(AND('Your numbers'!F15&gt;=cr_start,'Your numbers'!F15&lt;=cr_last),'Your numbers'!D15,0),0))</f>
        <v>9800.0</v>
      </c>
    </row>
    <row r="8" spans="2:16" s="1" customFormat="1">
      <c r="B8" s="68" t="s">
        <v>51</v>
      </c>
      <c r="C8" s="69">
        <f>INDEX('Forecast'!$B$7:$B$96,MATCH(cr_low,'Forecast'!$F$7:$F$96,0))</f>
        <v>46402.0</v>
      </c>
      <c r="E8" s="70">
        <f>'Forecast'!B9</f>
        <v>46330.0</v>
      </c>
      <c r="F8" s="71">
        <f>'Forecast'!F9</f>
        <v>11400.0</v>
      </c>
      <c r="G8" s="71">
        <f>cr_floor+0</f>
        <v>5000.0</v>
      </c>
      <c r="H8" s="71">
        <f>'Forecast'!H9</f>
        <v>11400.0</v>
      </c>
      <c r="I8" s="71" t="e">
        <f>IF(AND(E8=cr_low_date,cr_no_answer=0),F8,NA())</f>
        <v>#N/A</v>
      </c>
      <c r="J8" s="71" t="e">
        <f>IF(AND(E8=cr_late_date,cr_late_low&lt;cr_low,cr_no_answer=0),H8,NA())</f>
        <v>#N/A</v>
      </c>
      <c r="K8" s="71" t="e">
        <f>IF(E8=cr_last,F8,NA())</f>
        <v>#N/A</v>
      </c>
      <c r="L8" s="71" t="e">
        <f>IF(E8=cr_start+8,G8,NA())</f>
        <v>#N/A</v>
      </c>
      <c r="M8" s="71">
        <f>IF(F8&lt;cr_floor,1,0)</f>
        <v>0.0</v>
      </c>
      <c r="N8" s="71">
        <f>IF(H8&lt;cr_floor,1,0)</f>
        <v>0.0</v>
      </c>
      <c r="O8" s="71">
        <f>IF(F8&lt;0,1,0)</f>
        <v>0.0</v>
      </c>
      <c r="P8" s="71">
        <f>IF('Your numbers'!E16="Every day",0,IF(ISNUMBER('Your numbers'!F16),IF(AND('Your numbers'!F16&gt;=cr_start,'Your numbers'!F16&lt;=cr_last),'Your numbers'!D16,0),0))</f>
        <v>3500.0</v>
      </c>
    </row>
    <row r="9" spans="2:16" s="1" customFormat="1">
      <c r="B9" s="68" t="s">
        <v>52</v>
      </c>
      <c r="C9" s="72">
        <f>MAX($P$6:$P$25)</f>
        <v>9800.0</v>
      </c>
      <c r="E9" s="70">
        <f>'Forecast'!B10</f>
        <v>46331.0</v>
      </c>
      <c r="F9" s="71">
        <f>'Forecast'!F10</f>
        <v>11400.0</v>
      </c>
      <c r="G9" s="71">
        <f>cr_floor+0</f>
        <v>5000.0</v>
      </c>
      <c r="H9" s="71">
        <f>'Forecast'!H10</f>
        <v>11400.0</v>
      </c>
      <c r="I9" s="71" t="e">
        <f>IF(AND(E9=cr_low_date,cr_no_answer=0),F9,NA())</f>
        <v>#N/A</v>
      </c>
      <c r="J9" s="71" t="e">
        <f>IF(AND(E9=cr_late_date,cr_late_low&lt;cr_low,cr_no_answer=0),H9,NA())</f>
        <v>#N/A</v>
      </c>
      <c r="K9" s="71" t="e">
        <f>IF(E9=cr_last,F9,NA())</f>
        <v>#N/A</v>
      </c>
      <c r="L9" s="71" t="e">
        <f>IF(E9=cr_start+8,G9,NA())</f>
        <v>#N/A</v>
      </c>
      <c r="M9" s="71">
        <f>IF(F9&lt;cr_floor,1,0)</f>
        <v>0.0</v>
      </c>
      <c r="N9" s="71">
        <f>IF(H9&lt;cr_floor,1,0)</f>
        <v>0.0</v>
      </c>
      <c r="O9" s="71">
        <f>IF(F9&lt;0,1,0)</f>
        <v>0.0</v>
      </c>
      <c r="P9" s="71">
        <f>IF('Your numbers'!E17="Every day",0,IF(ISNUMBER('Your numbers'!F17),IF(AND('Your numbers'!F17&gt;=cr_start,'Your numbers'!F17&lt;=cr_last),'Your numbers'!D17,0),0))</f>
        <v>4200.0</v>
      </c>
    </row>
    <row r="10" spans="2:16" s="1" customFormat="1">
      <c r="B10" s="68" t="s">
        <v>53</v>
      </c>
      <c r="C10" s="73">
        <f>IF(cr_big_amt=0,0,MATCH(cr_big_amt,$P$6:$P$25,0))</f>
        <v>2.0</v>
      </c>
      <c r="E10" s="70">
        <f>'Forecast'!B11</f>
        <v>46332.0</v>
      </c>
      <c r="F10" s="71">
        <f>'Forecast'!F11</f>
        <v>10600.0</v>
      </c>
      <c r="G10" s="71">
        <f>cr_floor+0</f>
        <v>5000.0</v>
      </c>
      <c r="H10" s="71">
        <f>'Forecast'!H11</f>
        <v>10600.0</v>
      </c>
      <c r="I10" s="71" t="e">
        <f>IF(AND(E10=cr_low_date,cr_no_answer=0),F10,NA())</f>
        <v>#N/A</v>
      </c>
      <c r="J10" s="71" t="e">
        <f>IF(AND(E10=cr_late_date,cr_late_low&lt;cr_low,cr_no_answer=0),H10,NA())</f>
        <v>#N/A</v>
      </c>
      <c r="K10" s="71" t="e">
        <f>IF(E10=cr_last,F10,NA())</f>
        <v>#N/A</v>
      </c>
      <c r="L10" s="71" t="e">
        <f>IF(E10=cr_start+8,G10,NA())</f>
        <v>#N/A</v>
      </c>
      <c r="M10" s="71">
        <f>IF(F10&lt;cr_floor,1,0)</f>
        <v>0.0</v>
      </c>
      <c r="N10" s="71">
        <f>IF(H10&lt;cr_floor,1,0)</f>
        <v>0.0</v>
      </c>
      <c r="O10" s="71">
        <f>IF(F10&lt;0,1,0)</f>
        <v>0.0</v>
      </c>
      <c r="P10" s="71">
        <f>IF('Your numbers'!E18="Every day",0,IF(ISNUMBER('Your numbers'!F18),IF(AND('Your numbers'!F18&gt;=cr_start,'Your numbers'!F18&lt;=cr_last),'Your numbers'!D18,0),0))</f>
        <v>0.0</v>
      </c>
    </row>
    <row r="11" spans="2:16" s="1" customFormat="1">
      <c r="B11" s="68" t="s">
        <v>54</v>
      </c>
      <c r="C11" s="71" t="str">
        <f>IF(cr_big_row=0,"",INDEX(cr_in_name,cr_big_row))</f>
        <v>Tidewater Hotel invoice</v>
      </c>
      <c r="E11" s="70">
        <f>'Forecast'!B12</f>
        <v>46333.0</v>
      </c>
      <c r="F11" s="71">
        <f>'Forecast'!F12</f>
        <v>10600.0</v>
      </c>
      <c r="G11" s="71">
        <f>cr_floor+0</f>
        <v>5000.0</v>
      </c>
      <c r="H11" s="71">
        <f>'Forecast'!H12</f>
        <v>10600.0</v>
      </c>
      <c r="I11" s="71" t="e">
        <f>IF(AND(E11=cr_low_date,cr_no_answer=0),F11,NA())</f>
        <v>#N/A</v>
      </c>
      <c r="J11" s="71" t="e">
        <f>IF(AND(E11=cr_late_date,cr_late_low&lt;cr_low,cr_no_answer=0),H11,NA())</f>
        <v>#N/A</v>
      </c>
      <c r="K11" s="71" t="e">
        <f>IF(E11=cr_last,F11,NA())</f>
        <v>#N/A</v>
      </c>
      <c r="L11" s="71" t="e">
        <f>IF(E11=cr_start+8,G11,NA())</f>
        <v>#N/A</v>
      </c>
      <c r="M11" s="71">
        <f>IF(F11&lt;cr_floor,1,0)</f>
        <v>0.0</v>
      </c>
      <c r="N11" s="71">
        <f>IF(H11&lt;cr_floor,1,0)</f>
        <v>0.0</v>
      </c>
      <c r="O11" s="71">
        <f>IF(F11&lt;0,1,0)</f>
        <v>0.0</v>
      </c>
      <c r="P11" s="71">
        <f>IF('Your numbers'!E19="Every day",0,IF(ISNUMBER('Your numbers'!F19),IF(AND('Your numbers'!F19&gt;=cr_start,'Your numbers'!F19&lt;=cr_last),'Your numbers'!D19,0),0))</f>
        <v>0.0</v>
      </c>
    </row>
    <row r="12" spans="2:16" s="1" customFormat="1">
      <c r="B12" s="68" t="s">
        <v>55</v>
      </c>
      <c r="C12" s="69">
        <f>IF(cr_big_row=0,0,INDEX(cr_in_next,cr_big_row))</f>
        <v>46346.0</v>
      </c>
      <c r="E12" s="70">
        <f>'Forecast'!B13</f>
        <v>46334.0</v>
      </c>
      <c r="F12" s="71">
        <f>'Forecast'!F13</f>
        <v>10600.0</v>
      </c>
      <c r="G12" s="71">
        <f>cr_floor+0</f>
        <v>5000.0</v>
      </c>
      <c r="H12" s="71">
        <f>'Forecast'!H13</f>
        <v>10600.0</v>
      </c>
      <c r="I12" s="71" t="e">
        <f>IF(AND(E12=cr_low_date,cr_no_answer=0),F12,NA())</f>
        <v>#N/A</v>
      </c>
      <c r="J12" s="71" t="e">
        <f>IF(AND(E12=cr_late_date,cr_late_low&lt;cr_low,cr_no_answer=0),H12,NA())</f>
        <v>#N/A</v>
      </c>
      <c r="K12" s="71" t="e">
        <f>IF(E12=cr_last,F12,NA())</f>
        <v>#N/A</v>
      </c>
      <c r="L12" s="71" t="e">
        <f>IF(E12=cr_start+8,G12,NA())</f>
        <v>#N/A</v>
      </c>
      <c r="M12" s="71">
        <f>IF(F12&lt;cr_floor,1,0)</f>
        <v>0.0</v>
      </c>
      <c r="N12" s="71">
        <f>IF(H12&lt;cr_floor,1,0)</f>
        <v>0.0</v>
      </c>
      <c r="O12" s="71">
        <f>IF(F12&lt;0,1,0)</f>
        <v>0.0</v>
      </c>
      <c r="P12" s="71">
        <f>IF('Your numbers'!E20="Every day",0,IF(ISNUMBER('Your numbers'!F20),IF(AND('Your numbers'!F20&gt;=cr_start,'Your numbers'!F20&lt;=cr_last),'Your numbers'!D20,0),0))</f>
        <v>0.0</v>
      </c>
    </row>
    <row r="13" spans="2:16" s="1" customFormat="1">
      <c r="B13" s="68" t="s">
        <v>56</v>
      </c>
      <c r="C13" s="69">
        <f>cr_big_date+cr_late</f>
        <v>46360.0</v>
      </c>
      <c r="E13" s="70">
        <f>'Forecast'!B14</f>
        <v>46335.0</v>
      </c>
      <c r="F13" s="71">
        <f>'Forecast'!F14</f>
        <v>10410.0</v>
      </c>
      <c r="G13" s="71">
        <f>cr_floor+0</f>
        <v>5000.0</v>
      </c>
      <c r="H13" s="71">
        <f>'Forecast'!H14</f>
        <v>10410.0</v>
      </c>
      <c r="I13" s="71" t="e">
        <f>IF(AND(E13=cr_low_date,cr_no_answer=0),F13,NA())</f>
        <v>#N/A</v>
      </c>
      <c r="J13" s="71" t="e">
        <f>IF(AND(E13=cr_late_date,cr_late_low&lt;cr_low,cr_no_answer=0),H13,NA())</f>
        <v>#N/A</v>
      </c>
      <c r="K13" s="71" t="e">
        <f>IF(E13=cr_last,F13,NA())</f>
        <v>#N/A</v>
      </c>
      <c r="L13" s="71" t="e">
        <f>IF(E13=cr_start+8,G13,NA())</f>
        <v>#N/A</v>
      </c>
      <c r="M13" s="71">
        <f>IF(F13&lt;cr_floor,1,0)</f>
        <v>0.0</v>
      </c>
      <c r="N13" s="71">
        <f>IF(H13&lt;cr_floor,1,0)</f>
        <v>0.0</v>
      </c>
      <c r="O13" s="71">
        <f>IF(F13&lt;0,1,0)</f>
        <v>0.0</v>
      </c>
      <c r="P13" s="71">
        <f>IF('Your numbers'!E21="Every day",0,IF(ISNUMBER('Your numbers'!F21),IF(AND('Your numbers'!F21&gt;=cr_start,'Your numbers'!F21&lt;=cr_last),'Your numbers'!D21,0),0))</f>
        <v>0.0</v>
      </c>
    </row>
    <row r="14" spans="2:16" s="1" customFormat="1">
      <c r="B14" s="68" t="s">
        <v>57</v>
      </c>
      <c r="C14" s="72">
        <f>MIN('Forecast'!$H$7:$H$96)</f>
        <v>660.0</v>
      </c>
      <c r="E14" s="70">
        <f>'Forecast'!B15</f>
        <v>46336.0</v>
      </c>
      <c r="F14" s="71">
        <f>'Forecast'!F15</f>
        <v>10410.0</v>
      </c>
      <c r="G14" s="71">
        <f>cr_floor+0</f>
        <v>5000.0</v>
      </c>
      <c r="H14" s="71">
        <f>'Forecast'!H15</f>
        <v>10410.0</v>
      </c>
      <c r="I14" s="71" t="e">
        <f>IF(AND(E14=cr_low_date,cr_no_answer=0),F14,NA())</f>
        <v>#N/A</v>
      </c>
      <c r="J14" s="71" t="e">
        <f>IF(AND(E14=cr_late_date,cr_late_low&lt;cr_low,cr_no_answer=0),H14,NA())</f>
        <v>#N/A</v>
      </c>
      <c r="K14" s="71" t="e">
        <f>IF(E14=cr_last,F14,NA())</f>
        <v>#N/A</v>
      </c>
      <c r="L14" s="71">
        <f>IF(E14=cr_start+8,G14,NA())</f>
        <v>5000.0</v>
      </c>
      <c r="M14" s="71">
        <f>IF(F14&lt;cr_floor,1,0)</f>
        <v>0.0</v>
      </c>
      <c r="N14" s="71">
        <f>IF(H14&lt;cr_floor,1,0)</f>
        <v>0.0</v>
      </c>
      <c r="O14" s="71">
        <f>IF(F14&lt;0,1,0)</f>
        <v>0.0</v>
      </c>
      <c r="P14" s="71">
        <f>IF('Your numbers'!E22="Every day",0,IF(ISNUMBER('Your numbers'!F22),IF(AND('Your numbers'!F22&gt;=cr_start,'Your numbers'!F22&lt;=cr_last),'Your numbers'!D22,0),0))</f>
        <v>0.0</v>
      </c>
    </row>
    <row r="15" spans="2:16" s="1" customFormat="1">
      <c r="B15" s="68" t="s">
        <v>58</v>
      </c>
      <c r="C15" s="69">
        <f>INDEX('Forecast'!$B$7:$B$96,MATCH(cr_late_low,'Forecast'!$H$7:$H$96,0))</f>
        <v>46357.0</v>
      </c>
      <c r="E15" s="70">
        <f>'Forecast'!B16</f>
        <v>46337.0</v>
      </c>
      <c r="F15" s="71">
        <f>'Forecast'!F16</f>
        <v>10410.0</v>
      </c>
      <c r="G15" s="71">
        <f>cr_floor+0</f>
        <v>5000.0</v>
      </c>
      <c r="H15" s="71">
        <f>'Forecast'!H16</f>
        <v>10410.0</v>
      </c>
      <c r="I15" s="71" t="e">
        <f>IF(AND(E15=cr_low_date,cr_no_answer=0),F15,NA())</f>
        <v>#N/A</v>
      </c>
      <c r="J15" s="71" t="e">
        <f>IF(AND(E15=cr_late_date,cr_late_low&lt;cr_low,cr_no_answer=0),H15,NA())</f>
        <v>#N/A</v>
      </c>
      <c r="K15" s="71" t="e">
        <f>IF(E15=cr_last,F15,NA())</f>
        <v>#N/A</v>
      </c>
      <c r="L15" s="71" t="e">
        <f>IF(E15=cr_start+8,G15,NA())</f>
        <v>#N/A</v>
      </c>
      <c r="M15" s="71">
        <f>IF(F15&lt;cr_floor,1,0)</f>
        <v>0.0</v>
      </c>
      <c r="N15" s="71">
        <f>IF(H15&lt;cr_floor,1,0)</f>
        <v>0.0</v>
      </c>
      <c r="O15" s="71">
        <f>IF(F15&lt;0,1,0)</f>
        <v>0.0</v>
      </c>
      <c r="P15" s="71">
        <f>IF('Your numbers'!E23="Every day",0,IF(ISNUMBER('Your numbers'!F23),IF(AND('Your numbers'!F23&gt;=cr_start,'Your numbers'!F23&lt;=cr_last),'Your numbers'!D23,0),0))</f>
        <v>0.0</v>
      </c>
    </row>
    <row r="16" spans="2:16" s="1" customFormat="1">
      <c r="B16" s="68" t="s">
        <v>59</v>
      </c>
      <c r="C16" s="69">
        <f>IFERROR(INDEX('Forecast'!$B$7:$B$96,MATCH(1,$M$6:$M$95,0)),0)</f>
        <v>0.0</v>
      </c>
      <c r="E16" s="70">
        <f>'Forecast'!B17</f>
        <v>46338.0</v>
      </c>
      <c r="F16" s="71">
        <f>'Forecast'!F17</f>
        <v>10410.0</v>
      </c>
      <c r="G16" s="71">
        <f>cr_floor+0</f>
        <v>5000.0</v>
      </c>
      <c r="H16" s="71">
        <f>'Forecast'!H17</f>
        <v>10410.0</v>
      </c>
      <c r="I16" s="71" t="e">
        <f>IF(AND(E16=cr_low_date,cr_no_answer=0),F16,NA())</f>
        <v>#N/A</v>
      </c>
      <c r="J16" s="71" t="e">
        <f>IF(AND(E16=cr_late_date,cr_late_low&lt;cr_low,cr_no_answer=0),H16,NA())</f>
        <v>#N/A</v>
      </c>
      <c r="K16" s="71" t="e">
        <f>IF(E16=cr_last,F16,NA())</f>
        <v>#N/A</v>
      </c>
      <c r="L16" s="71" t="e">
        <f>IF(E16=cr_start+8,G16,NA())</f>
        <v>#N/A</v>
      </c>
      <c r="M16" s="71">
        <f>IF(F16&lt;cr_floor,1,0)</f>
        <v>0.0</v>
      </c>
      <c r="N16" s="71">
        <f>IF(H16&lt;cr_floor,1,0)</f>
        <v>0.0</v>
      </c>
      <c r="O16" s="71">
        <f>IF(F16&lt;0,1,0)</f>
        <v>0.0</v>
      </c>
      <c r="P16" s="71">
        <f>IF('Your numbers'!E24="Every day",0,IF(ISNUMBER('Your numbers'!F24),IF(AND('Your numbers'!F24&gt;=cr_start,'Your numbers'!F24&lt;=cr_last),'Your numbers'!D24,0),0))</f>
        <v>0.0</v>
      </c>
    </row>
    <row r="17" spans="2:16" s="1" customFormat="1">
      <c r="B17" s="68" t="s">
        <v>60</v>
      </c>
      <c r="C17" s="69">
        <f>IFERROR(INDEX('Forecast'!$B$7:$B$96,MATCH(1,$N$6:$N$95,0)),0)</f>
        <v>46356.0</v>
      </c>
      <c r="E17" s="70">
        <f>'Forecast'!B18</f>
        <v>46339.0</v>
      </c>
      <c r="F17" s="71">
        <f>'Forecast'!F18</f>
        <v>13010.0</v>
      </c>
      <c r="G17" s="71">
        <f>cr_floor+0</f>
        <v>5000.0</v>
      </c>
      <c r="H17" s="71">
        <f>'Forecast'!H18</f>
        <v>13010.0</v>
      </c>
      <c r="I17" s="71" t="e">
        <f>IF(AND(E17=cr_low_date,cr_no_answer=0),F17,NA())</f>
        <v>#N/A</v>
      </c>
      <c r="J17" s="71" t="e">
        <f>IF(AND(E17=cr_late_date,cr_late_low&lt;cr_low,cr_no_answer=0),H17,NA())</f>
        <v>#N/A</v>
      </c>
      <c r="K17" s="71" t="e">
        <f>IF(E17=cr_last,F17,NA())</f>
        <v>#N/A</v>
      </c>
      <c r="L17" s="71" t="e">
        <f>IF(E17=cr_start+8,G17,NA())</f>
        <v>#N/A</v>
      </c>
      <c r="M17" s="71">
        <f>IF(F17&lt;cr_floor,1,0)</f>
        <v>0.0</v>
      </c>
      <c r="N17" s="71">
        <f>IF(H17&lt;cr_floor,1,0)</f>
        <v>0.0</v>
      </c>
      <c r="O17" s="71">
        <f>IF(F17&lt;0,1,0)</f>
        <v>0.0</v>
      </c>
      <c r="P17" s="71">
        <f>IF('Your numbers'!E25="Every day",0,IF(ISNUMBER('Your numbers'!F25),IF(AND('Your numbers'!F25&gt;=cr_start,'Your numbers'!F25&lt;=cr_last),'Your numbers'!D25,0),0))</f>
        <v>0.0</v>
      </c>
    </row>
    <row r="18" spans="2:16" s="1" customFormat="1">
      <c r="B18" s="68" t="s">
        <v>61</v>
      </c>
      <c r="C18" s="69">
        <f>IFERROR(INDEX('Forecast'!$B$7:$B$96,MATCH(1,$O$6:$O$95,0)),0)</f>
        <v>0.0</v>
      </c>
      <c r="E18" s="70">
        <f>'Forecast'!B19</f>
        <v>46340.0</v>
      </c>
      <c r="F18" s="71">
        <f>'Forecast'!F19</f>
        <v>13010.0</v>
      </c>
      <c r="G18" s="71">
        <f>cr_floor+0</f>
        <v>5000.0</v>
      </c>
      <c r="H18" s="71">
        <f>'Forecast'!H19</f>
        <v>13010.0</v>
      </c>
      <c r="I18" s="71" t="e">
        <f>IF(AND(E18=cr_low_date,cr_no_answer=0),F18,NA())</f>
        <v>#N/A</v>
      </c>
      <c r="J18" s="71" t="e">
        <f>IF(AND(E18=cr_late_date,cr_late_low&lt;cr_low,cr_no_answer=0),H18,NA())</f>
        <v>#N/A</v>
      </c>
      <c r="K18" s="71" t="e">
        <f>IF(E18=cr_last,F18,NA())</f>
        <v>#N/A</v>
      </c>
      <c r="L18" s="71" t="e">
        <f>IF(E18=cr_start+8,G18,NA())</f>
        <v>#N/A</v>
      </c>
      <c r="M18" s="71">
        <f>IF(F18&lt;cr_floor,1,0)</f>
        <v>0.0</v>
      </c>
      <c r="N18" s="71">
        <f>IF(H18&lt;cr_floor,1,0)</f>
        <v>0.0</v>
      </c>
      <c r="O18" s="71">
        <f>IF(F18&lt;0,1,0)</f>
        <v>0.0</v>
      </c>
      <c r="P18" s="71">
        <f>IF('Your numbers'!E26="Every day",0,IF(ISNUMBER('Your numbers'!F26),IF(AND('Your numbers'!F26&gt;=cr_start,'Your numbers'!F26&lt;=cr_last),'Your numbers'!D26,0),0))</f>
        <v>0.0</v>
      </c>
    </row>
    <row r="19" spans="2:16" s="1" customFormat="1">
      <c r="B19" s="68" t="s">
        <v>62</v>
      </c>
      <c r="C19" s="73">
        <f>COUNTIF(cr_in_status,"No amount yet: not counted")+COUNTIF(cr_in_status,"No date yet: not counted")+COUNTIF(cr_in_status,"Date has passed: not counted")+COUNTIF(cr_out_status,"No amount yet: not counted")+COUNTIF(cr_out_status,"No date yet: not counted")+COUNTIF(cr_out_status,"Date has passed: not counted")</f>
        <v>0.0</v>
      </c>
      <c r="E19" s="70">
        <f>'Forecast'!B20</f>
        <v>46341.0</v>
      </c>
      <c r="F19" s="71">
        <f>'Forecast'!F20</f>
        <v>11160.0</v>
      </c>
      <c r="G19" s="71">
        <f>cr_floor+0</f>
        <v>5000.0</v>
      </c>
      <c r="H19" s="71">
        <f>'Forecast'!H20</f>
        <v>11160.0</v>
      </c>
      <c r="I19" s="71" t="e">
        <f>IF(AND(E19=cr_low_date,cr_no_answer=0),F19,NA())</f>
        <v>#N/A</v>
      </c>
      <c r="J19" s="71" t="e">
        <f>IF(AND(E19=cr_late_date,cr_late_low&lt;cr_low,cr_no_answer=0),H19,NA())</f>
        <v>#N/A</v>
      </c>
      <c r="K19" s="71" t="e">
        <f>IF(E19=cr_last,F19,NA())</f>
        <v>#N/A</v>
      </c>
      <c r="L19" s="71" t="e">
        <f>IF(E19=cr_start+8,G19,NA())</f>
        <v>#N/A</v>
      </c>
      <c r="M19" s="71">
        <f>IF(F19&lt;cr_floor,1,0)</f>
        <v>0.0</v>
      </c>
      <c r="N19" s="71">
        <f>IF(H19&lt;cr_floor,1,0)</f>
        <v>0.0</v>
      </c>
      <c r="O19" s="71">
        <f>IF(F19&lt;0,1,0)</f>
        <v>0.0</v>
      </c>
      <c r="P19" s="71">
        <f>IF('Your numbers'!E27="Every day",0,IF(ISNUMBER('Your numbers'!F27),IF(AND('Your numbers'!F27&gt;=cr_start,'Your numbers'!F27&lt;=cr_last),'Your numbers'!D27,0),0))</f>
        <v>0.0</v>
      </c>
    </row>
    <row r="20" spans="2:16" s="1" customFormat="1">
      <c r="B20" s="68" t="s">
        <v>63</v>
      </c>
      <c r="C20" s="72">
        <f>SUMPRODUCT(((cr_in_status="No amount yet: not counted")+(cr_in_status="No date yet: not counted")+(cr_in_status="Date has passed: not counted"))*cr_in_amt)</f>
        <v>0.0</v>
      </c>
      <c r="E20" s="70">
        <f>'Forecast'!B21</f>
        <v>46342.0</v>
      </c>
      <c r="F20" s="71">
        <f>'Forecast'!F21</f>
        <v>11160.0</v>
      </c>
      <c r="G20" s="71">
        <f>cr_floor+0</f>
        <v>5000.0</v>
      </c>
      <c r="H20" s="71">
        <f>'Forecast'!H21</f>
        <v>11160.0</v>
      </c>
      <c r="I20" s="71" t="e">
        <f>IF(AND(E20=cr_low_date,cr_no_answer=0),F20,NA())</f>
        <v>#N/A</v>
      </c>
      <c r="J20" s="71" t="e">
        <f>IF(AND(E20=cr_late_date,cr_late_low&lt;cr_low,cr_no_answer=0),H20,NA())</f>
        <v>#N/A</v>
      </c>
      <c r="K20" s="71" t="e">
        <f>IF(E20=cr_last,F20,NA())</f>
        <v>#N/A</v>
      </c>
      <c r="L20" s="71" t="e">
        <f>IF(E20=cr_start+8,G20,NA())</f>
        <v>#N/A</v>
      </c>
      <c r="M20" s="71">
        <f>IF(F20&lt;cr_floor,1,0)</f>
        <v>0.0</v>
      </c>
      <c r="N20" s="71">
        <f>IF(H20&lt;cr_floor,1,0)</f>
        <v>0.0</v>
      </c>
      <c r="O20" s="71">
        <f>IF(F20&lt;0,1,0)</f>
        <v>0.0</v>
      </c>
      <c r="P20" s="71">
        <f>IF('Your numbers'!E28="Every day",0,IF(ISNUMBER('Your numbers'!F28),IF(AND('Your numbers'!F28&gt;=cr_start,'Your numbers'!F28&lt;=cr_last),'Your numbers'!D28,0),0))</f>
        <v>0.0</v>
      </c>
    </row>
    <row r="21" spans="2:16" s="1" customFormat="1">
      <c r="B21" s="68" t="s">
        <v>64</v>
      </c>
      <c r="C21" s="72">
        <f>SUMPRODUCT(((cr_out_status="No amount yet: not counted")+(cr_out_status="No date yet: not counted")+(cr_out_status="Date has passed: not counted"))*cr_out_amt)</f>
        <v>0.0</v>
      </c>
      <c r="E21" s="70">
        <f>'Forecast'!B22</f>
        <v>46343.0</v>
      </c>
      <c r="F21" s="71">
        <f>'Forecast'!F22</f>
        <v>11160.0</v>
      </c>
      <c r="G21" s="71">
        <f>cr_floor+0</f>
        <v>5000.0</v>
      </c>
      <c r="H21" s="71">
        <f>'Forecast'!H22</f>
        <v>11160.0</v>
      </c>
      <c r="I21" s="71" t="e">
        <f>IF(AND(E21=cr_low_date,cr_no_answer=0),F21,NA())</f>
        <v>#N/A</v>
      </c>
      <c r="J21" s="71" t="e">
        <f>IF(AND(E21=cr_late_date,cr_late_low&lt;cr_low,cr_no_answer=0),H21,NA())</f>
        <v>#N/A</v>
      </c>
      <c r="K21" s="71" t="e">
        <f>IF(E21=cr_last,F21,NA())</f>
        <v>#N/A</v>
      </c>
      <c r="L21" s="71" t="e">
        <f>IF(E21=cr_start+8,G21,NA())</f>
        <v>#N/A</v>
      </c>
      <c r="M21" s="71">
        <f>IF(F21&lt;cr_floor,1,0)</f>
        <v>0.0</v>
      </c>
      <c r="N21" s="71">
        <f>IF(H21&lt;cr_floor,1,0)</f>
        <v>0.0</v>
      </c>
      <c r="O21" s="71">
        <f>IF(F21&lt;0,1,0)</f>
        <v>0.0</v>
      </c>
      <c r="P21" s="71">
        <f>IF('Your numbers'!E29="Every day",0,IF(ISNUMBER('Your numbers'!F29),IF(AND('Your numbers'!F29&gt;=cr_start,'Your numbers'!F29&lt;=cr_last),'Your numbers'!D29,0),0))</f>
        <v>0.0</v>
      </c>
    </row>
    <row r="22" spans="2:16" s="1" customFormat="1">
      <c r="B22" s="68" t="s">
        <v>65</v>
      </c>
      <c r="C22" s="71" t="str">
        <f t="array" ref="C22">IFERROR(_xlfn.TEXTJOIN("; ",TRUE,IF(((cr_in_status="No amount yet: not counted")+(cr_in_status="No date yet: not counted")+(cr_in_status="Date has passed: not counted"))&gt;0,cr_in_name&amp;" "&amp;IF(cr_in_amt="","amount?","$"&amp;TEXT(cr_in_amt,"#,##0")),""),IF(((cr_out_status="No amount yet: not counted")+(cr_out_status="No date yet: not counted")+(cr_out_status="Date has passed: not counted"))&gt;0,cr_out_name&amp;" "&amp;IF(cr_out_amt="","amount?","$"&amp;TEXT(cr_out_amt,"#,##0")),"")),"")</f>
        <v/>
      </c>
      <c r="E22" s="70">
        <f>'Forecast'!B23</f>
        <v>46344.0</v>
      </c>
      <c r="F22" s="71">
        <f>'Forecast'!F23</f>
        <v>11160.0</v>
      </c>
      <c r="G22" s="71">
        <f>cr_floor+0</f>
        <v>5000.0</v>
      </c>
      <c r="H22" s="71">
        <f>'Forecast'!H23</f>
        <v>11160.0</v>
      </c>
      <c r="I22" s="71" t="e">
        <f>IF(AND(E22=cr_low_date,cr_no_answer=0),F22,NA())</f>
        <v>#N/A</v>
      </c>
      <c r="J22" s="71" t="e">
        <f>IF(AND(E22=cr_late_date,cr_late_low&lt;cr_low,cr_no_answer=0),H22,NA())</f>
        <v>#N/A</v>
      </c>
      <c r="K22" s="71" t="e">
        <f>IF(E22=cr_last,F22,NA())</f>
        <v>#N/A</v>
      </c>
      <c r="L22" s="71" t="e">
        <f>IF(E22=cr_start+8,G22,NA())</f>
        <v>#N/A</v>
      </c>
      <c r="M22" s="71">
        <f>IF(F22&lt;cr_floor,1,0)</f>
        <v>0.0</v>
      </c>
      <c r="N22" s="71">
        <f>IF(H22&lt;cr_floor,1,0)</f>
        <v>0.0</v>
      </c>
      <c r="O22" s="71">
        <f>IF(F22&lt;0,1,0)</f>
        <v>0.0</v>
      </c>
      <c r="P22" s="71">
        <f>IF('Your numbers'!E30="Every day",0,IF(ISNUMBER('Your numbers'!F30),IF(AND('Your numbers'!F30&gt;=cr_start,'Your numbers'!F30&lt;=cr_last),'Your numbers'!D30,0),0))</f>
        <v>0.0</v>
      </c>
    </row>
    <row r="23" spans="2:16" s="1" customFormat="1">
      <c r="B23" s="68" t="s">
        <v>66</v>
      </c>
      <c r="C23" s="73">
        <f>IF(OR(cr_gaps&gt;0,cr_tot_out=0),1,0)</f>
        <v>0.0</v>
      </c>
      <c r="E23" s="70">
        <f>'Forecast'!B24</f>
        <v>46345.0</v>
      </c>
      <c r="F23" s="71">
        <f>'Forecast'!F24</f>
        <v>11160.0</v>
      </c>
      <c r="G23" s="71">
        <f>cr_floor+0</f>
        <v>5000.0</v>
      </c>
      <c r="H23" s="71">
        <f>'Forecast'!H24</f>
        <v>11160.0</v>
      </c>
      <c r="I23" s="71" t="e">
        <f>IF(AND(E23=cr_low_date,cr_no_answer=0),F23,NA())</f>
        <v>#N/A</v>
      </c>
      <c r="J23" s="71" t="e">
        <f>IF(AND(E23=cr_late_date,cr_late_low&lt;cr_low,cr_no_answer=0),H23,NA())</f>
        <v>#N/A</v>
      </c>
      <c r="K23" s="71" t="e">
        <f>IF(E23=cr_last,F23,NA())</f>
        <v>#N/A</v>
      </c>
      <c r="L23" s="71" t="e">
        <f>IF(E23=cr_start+8,G23,NA())</f>
        <v>#N/A</v>
      </c>
      <c r="M23" s="71">
        <f>IF(F23&lt;cr_floor,1,0)</f>
        <v>0.0</v>
      </c>
      <c r="N23" s="71">
        <f>IF(H23&lt;cr_floor,1,0)</f>
        <v>0.0</v>
      </c>
      <c r="O23" s="71">
        <f>IF(F23&lt;0,1,0)</f>
        <v>0.0</v>
      </c>
      <c r="P23" s="71">
        <f>IF('Your numbers'!E31="Every day",0,IF(ISNUMBER('Your numbers'!F31),IF(AND('Your numbers'!F31&gt;=cr_start,'Your numbers'!F31&lt;=cr_last),'Your numbers'!D31,0),0))</f>
        <v>0.0</v>
      </c>
    </row>
    <row r="24" spans="2:16" s="1" customFormat="1">
      <c r="B24" s="68" t="s">
        <v>67</v>
      </c>
      <c r="C24" s="72">
        <f>'Forecast'!$F$96</f>
        <v>12480.0</v>
      </c>
      <c r="E24" s="70">
        <f>'Forecast'!B25</f>
        <v>46346.0</v>
      </c>
      <c r="F24" s="71">
        <f>'Forecast'!F25</f>
        <v>20160.0</v>
      </c>
      <c r="G24" s="71">
        <f>cr_floor+0</f>
        <v>5000.0</v>
      </c>
      <c r="H24" s="71">
        <f>'Forecast'!H25</f>
        <v>10360.0</v>
      </c>
      <c r="I24" s="71" t="e">
        <f>IF(AND(E24=cr_low_date,cr_no_answer=0),F24,NA())</f>
        <v>#N/A</v>
      </c>
      <c r="J24" s="71" t="e">
        <f>IF(AND(E24=cr_late_date,cr_late_low&lt;cr_low,cr_no_answer=0),H24,NA())</f>
        <v>#N/A</v>
      </c>
      <c r="K24" s="71" t="e">
        <f>IF(E24=cr_last,F24,NA())</f>
        <v>#N/A</v>
      </c>
      <c r="L24" s="71" t="e">
        <f>IF(E24=cr_start+8,G24,NA())</f>
        <v>#N/A</v>
      </c>
      <c r="M24" s="71">
        <f>IF(F24&lt;cr_floor,1,0)</f>
        <v>0.0</v>
      </c>
      <c r="N24" s="71">
        <f>IF(H24&lt;cr_floor,1,0)</f>
        <v>0.0</v>
      </c>
      <c r="O24" s="71">
        <f>IF(F24&lt;0,1,0)</f>
        <v>0.0</v>
      </c>
      <c r="P24" s="71">
        <f>IF('Your numbers'!E32="Every day",0,IF(ISNUMBER('Your numbers'!F32),IF(AND('Your numbers'!F32&gt;=cr_start,'Your numbers'!F32&lt;=cr_last),'Your numbers'!D32,0),0))</f>
        <v>0.0</v>
      </c>
    </row>
    <row r="25" spans="2:16" s="1" customFormat="1">
      <c r="B25" s="68" t="s">
        <v>68</v>
      </c>
      <c r="C25" s="72">
        <f>SUM('Forecast'!$D$7:$D$96)</f>
        <v>51300.0</v>
      </c>
      <c r="E25" s="70">
        <f>'Forecast'!B26</f>
        <v>46347.0</v>
      </c>
      <c r="F25" s="71">
        <f>'Forecast'!F26</f>
        <v>20160.0</v>
      </c>
      <c r="G25" s="71">
        <f>cr_floor+0</f>
        <v>5000.0</v>
      </c>
      <c r="H25" s="71">
        <f>'Forecast'!H26</f>
        <v>10360.0</v>
      </c>
      <c r="I25" s="71" t="e">
        <f>IF(AND(E25=cr_low_date,cr_no_answer=0),F25,NA())</f>
        <v>#N/A</v>
      </c>
      <c r="J25" s="71" t="e">
        <f>IF(AND(E25=cr_late_date,cr_late_low&lt;cr_low,cr_no_answer=0),H25,NA())</f>
        <v>#N/A</v>
      </c>
      <c r="K25" s="71" t="e">
        <f>IF(E25=cr_last,F25,NA())</f>
        <v>#N/A</v>
      </c>
      <c r="L25" s="71" t="e">
        <f>IF(E25=cr_start+8,G25,NA())</f>
        <v>#N/A</v>
      </c>
      <c r="M25" s="71">
        <f>IF(F25&lt;cr_floor,1,0)</f>
        <v>0.0</v>
      </c>
      <c r="N25" s="71">
        <f>IF(H25&lt;cr_floor,1,0)</f>
        <v>0.0</v>
      </c>
      <c r="O25" s="71">
        <f>IF(F25&lt;0,1,0)</f>
        <v>0.0</v>
      </c>
      <c r="P25" s="71">
        <f>IF('Your numbers'!E33="Every day",0,IF(ISNUMBER('Your numbers'!F33),IF(AND('Your numbers'!F33&gt;=cr_start,'Your numbers'!F33&lt;=cr_last),'Your numbers'!D33,0),0))</f>
        <v>0.0</v>
      </c>
    </row>
    <row r="26" spans="2:16" s="1" customFormat="1">
      <c r="B26" s="68" t="s">
        <v>69</v>
      </c>
      <c r="C26" s="72">
        <f>SUM('Forecast'!$E$7:$E$96)</f>
        <v>50220.0</v>
      </c>
      <c r="E26" s="70">
        <f>'Forecast'!B27</f>
        <v>46348.0</v>
      </c>
      <c r="F26" s="71">
        <f>'Forecast'!F27</f>
        <v>20160.0</v>
      </c>
      <c r="G26" s="71">
        <f>cr_floor+0</f>
        <v>5000.0</v>
      </c>
      <c r="H26" s="71">
        <f>'Forecast'!H27</f>
        <v>10360.0</v>
      </c>
      <c r="I26" s="71" t="e">
        <f>IF(AND(E26=cr_low_date,cr_no_answer=0),F26,NA())</f>
        <v>#N/A</v>
      </c>
      <c r="J26" s="71" t="e">
        <f>IF(AND(E26=cr_late_date,cr_late_low&lt;cr_low,cr_no_answer=0),H26,NA())</f>
        <v>#N/A</v>
      </c>
      <c r="K26" s="71" t="e">
        <f>IF(E26=cr_last,F26,NA())</f>
        <v>#N/A</v>
      </c>
      <c r="L26" s="71" t="e">
        <f>IF(E26=cr_start+8,G26,NA())</f>
        <v>#N/A</v>
      </c>
      <c r="M26" s="71">
        <f>IF(F26&lt;cr_floor,1,0)</f>
        <v>0.0</v>
      </c>
      <c r="N26" s="71">
        <f>IF(H26&lt;cr_floor,1,0)</f>
        <v>0.0</v>
      </c>
      <c r="O26" s="71">
        <f>IF(F26&lt;0,1,0)</f>
        <v>0.0</v>
      </c>
    </row>
    <row r="27" spans="2:16" s="1" customFormat="1">
      <c r="B27" s="68" t="s">
        <v>70</v>
      </c>
      <c r="C27" s="71" t="str">
        <f>IF(cr_open="","Type today's balance on the Your numbers sheet to get your answer.",IF(cr_gaps&gt;0,"No answer yet: "&amp;cr_gaps&amp;IF(cr_gaps=1," listed line is"," listed lines are")&amp;" not counted ("&amp;IF(cr_gap_in&lt;0,"-","")&amp;"$"&amp;TEXT(ABS(cr_gap_in),"#,##0")&amp;" in, "&amp;IF(cr_gap_out&lt;0,"-","")&amp;"$"&amp;TEXT(ABS(cr_gap_out),"#,##0")&amp;" out). Each needs a date and an amount before this can say whether your money lasts.",IF(cr_tot_out=0,"No answer yet: no bills or regular costs land in these 90 days, so this cannot say whether your money lasts. List what goes out, with dates.",IF(cr_low&gt;=cr_floor,"Yes: you stay above your "&amp;IF(cr_floor&lt;0,"-","")&amp;"$"&amp;TEXT(ABS(cr_floor),"#,##0")&amp;" floor for all 90 days, and the tightest day is "&amp;TEXT(cr_low_date,"ddd d mmm")&amp;", with "&amp;IF(cr_low&lt;0,"-","")&amp;"$"&amp;TEXT(ABS(cr_low),"#,##0")&amp;".",IF(cr_low&gt;=0,"Not quite: you drop below your "&amp;IF(cr_floor&lt;0,"-","")&amp;"$"&amp;TEXT(ABS(cr_floor),"#,##0")&amp;" floor on "&amp;TEXT(cr_below,"ddd d mmm")&amp;". The tightest day is "&amp;TEXT(cr_low_date,"ddd d mmm")&amp;", with "&amp;IF(cr_low&lt;0,"-","")&amp;"$"&amp;TEXT(ABS(cr_low),"#,##0")&amp;", which is "&amp;IF((cr_floor-cr_low)&lt;0,"-","")&amp;"$"&amp;TEXT(ABS((cr_floor-cr_low)),"#,##0")&amp;" short of it.","No: the money runs out on "&amp;TEXT(cr_neg,"ddd d mmm")&amp;". The tightest day is "&amp;TEXT(cr_low_date,"ddd d mmm")&amp;", at "&amp;IF(cr_low&lt;0,"-","")&amp;"$"&amp;TEXT(ABS(cr_low),"#,##0")&amp;", which is "&amp;IF((cr_floor-cr_low)&lt;0,"-","")&amp;"$"&amp;TEXT(ABS((cr_floor-cr_low)),"#,##0")&amp;" short of your "&amp;IF(cr_floor&lt;0,"-","")&amp;"$"&amp;TEXT(ABS(cr_floor),"#,##0")&amp;" floor.")))))</f>
        <v>Yes: you stay above your $5,000 floor for all 90 days, and the tightest day is Fri 15 Jan, with $6,480.</v>
      </c>
      <c r="E27" s="70">
        <f>'Forecast'!B28</f>
        <v>46349.0</v>
      </c>
      <c r="F27" s="71">
        <f>'Forecast'!F28</f>
        <v>20160.0</v>
      </c>
      <c r="G27" s="71">
        <f>cr_floor+0</f>
        <v>5000.0</v>
      </c>
      <c r="H27" s="71">
        <f>'Forecast'!H28</f>
        <v>10360.0</v>
      </c>
      <c r="I27" s="71" t="e">
        <f>IF(AND(E27=cr_low_date,cr_no_answer=0),F27,NA())</f>
        <v>#N/A</v>
      </c>
      <c r="J27" s="71" t="e">
        <f>IF(AND(E27=cr_late_date,cr_late_low&lt;cr_low,cr_no_answer=0),H27,NA())</f>
        <v>#N/A</v>
      </c>
      <c r="K27" s="71" t="e">
        <f>IF(E27=cr_last,F27,NA())</f>
        <v>#N/A</v>
      </c>
      <c r="L27" s="71" t="e">
        <f>IF(E27=cr_start+8,G27,NA())</f>
        <v>#N/A</v>
      </c>
      <c r="M27" s="71">
        <f>IF(F27&lt;cr_floor,1,0)</f>
        <v>0.0</v>
      </c>
      <c r="N27" s="71">
        <f>IF(H27&lt;cr_floor,1,0)</f>
        <v>0.0</v>
      </c>
      <c r="O27" s="71">
        <f>IF(F27&lt;0,1,0)</f>
        <v>0.0</v>
      </c>
    </row>
    <row r="28" spans="2:16" s="1" customFormat="1">
      <c r="B28" s="68" t="s">
        <v>71</v>
      </c>
      <c r="C28" s="71" t="str">
        <f>IF(cr_no_answer=1,"There is no late-payment case until the forecast has an answer.",IF(cr_big_row=0,"No single expected payment lands in these 90 days, so there is no late-payment case to show.",IF(cr_low&lt;cr_floor,"If your biggest payment, "&amp;cr_big_name&amp;" ("&amp;IF(cr_big_amt&lt;0,"-","")&amp;"$"&amp;TEXT(ABS(cr_big_amt),"#,##0")&amp;"), comes "&amp;IF(cr_late=14,"two weeks",cr_late&amp;" days")&amp;" late, the tightest day becomes "&amp;TEXT(cr_late_date,"ddd d mmm")&amp;", with "&amp;IF(cr_late_low&lt;0,"-","")&amp;"$"&amp;TEXT(ABS(cr_late_low),"#,##0")&amp;".",IF(cr_late_low&gt;=cr_floor,"If your biggest payment, "&amp;cr_big_name&amp;" ("&amp;IF(cr_big_amt&lt;0,"-","")&amp;"$"&amp;TEXT(ABS(cr_big_amt),"#,##0")&amp;"), comes "&amp;IF(cr_late=14,"two weeks",cr_late&amp;" days")&amp;" late, you still clear the floor: the tightest day is "&amp;TEXT(cr_late_date,"ddd d mmm")&amp;", with "&amp;IF(cr_late_low&lt;0,"-","")&amp;"$"&amp;TEXT(ABS(cr_late_low),"#,##0")&amp;".","If your biggest payment, "&amp;cr_big_name&amp;" ("&amp;IF(cr_big_amt&lt;0,"-","")&amp;"$"&amp;TEXT(ABS(cr_big_amt),"#,##0")&amp;"), comes "&amp;IF(cr_late=14,"two weeks",cr_late&amp;" days")&amp;" late, you drop below the floor on "&amp;TEXT(cr_late_below,"ddd d mmm")&amp;": the tightest day becomes "&amp;TEXT(cr_late_date,"ddd d mmm")&amp;", with "&amp;IF(cr_late_low&lt;0,"-","")&amp;"$"&amp;TEXT(ABS(cr_late_low),"#,##0")&amp;"."))))</f>
        <v>If your biggest payment, Tidewater Hotel invoice ($9,800), comes two weeks late, you drop below the floor on Mon 30 Nov: the tightest day becomes Tue 1 Dec, with $660.</v>
      </c>
      <c r="E28" s="70">
        <f>'Forecast'!B29</f>
        <v>46350.0</v>
      </c>
      <c r="F28" s="71">
        <f>'Forecast'!F29</f>
        <v>20160.0</v>
      </c>
      <c r="G28" s="71">
        <f>cr_floor+0</f>
        <v>5000.0</v>
      </c>
      <c r="H28" s="71">
        <f>'Forecast'!H29</f>
        <v>10360.0</v>
      </c>
      <c r="I28" s="71" t="e">
        <f>IF(AND(E28=cr_low_date,cr_no_answer=0),F28,NA())</f>
        <v>#N/A</v>
      </c>
      <c r="J28" s="71" t="e">
        <f>IF(AND(E28=cr_late_date,cr_late_low&lt;cr_low,cr_no_answer=0),H28,NA())</f>
        <v>#N/A</v>
      </c>
      <c r="K28" s="71" t="e">
        <f>IF(E28=cr_last,F28,NA())</f>
        <v>#N/A</v>
      </c>
      <c r="L28" s="71" t="e">
        <f>IF(E28=cr_start+8,G28,NA())</f>
        <v>#N/A</v>
      </c>
      <c r="M28" s="71">
        <f>IF(F28&lt;cr_floor,1,0)</f>
        <v>0.0</v>
      </c>
      <c r="N28" s="71">
        <f>IF(H28&lt;cr_floor,1,0)</f>
        <v>0.0</v>
      </c>
      <c r="O28" s="71">
        <f>IF(F28&lt;0,1,0)</f>
        <v>0.0</v>
      </c>
    </row>
    <row r="29" spans="2:16" s="1" customFormat="1">
      <c r="B29" s="68" t="s">
        <v>72</v>
      </c>
      <c r="C29" s="71" t="str">
        <f>IF(cr_gaps=0,"","Not counted yet: "&amp;cr_gap_list&amp;". Give each a date and an amount on Your numbers, or delete it if it is settled.")</f>
        <v/>
      </c>
      <c r="E29" s="70">
        <f>'Forecast'!B30</f>
        <v>46351.0</v>
      </c>
      <c r="F29" s="71">
        <f>'Forecast'!F30</f>
        <v>20160.0</v>
      </c>
      <c r="G29" s="71">
        <f>cr_floor+0</f>
        <v>5000.0</v>
      </c>
      <c r="H29" s="71">
        <f>'Forecast'!H30</f>
        <v>10360.0</v>
      </c>
      <c r="I29" s="71" t="e">
        <f>IF(AND(E29=cr_low_date,cr_no_answer=0),F29,NA())</f>
        <v>#N/A</v>
      </c>
      <c r="J29" s="71" t="e">
        <f>IF(AND(E29=cr_late_date,cr_late_low&lt;cr_low,cr_no_answer=0),H29,NA())</f>
        <v>#N/A</v>
      </c>
      <c r="K29" s="71" t="e">
        <f>IF(E29=cr_last,F29,NA())</f>
        <v>#N/A</v>
      </c>
      <c r="L29" s="71" t="e">
        <f>IF(E29=cr_start+8,G29,NA())</f>
        <v>#N/A</v>
      </c>
      <c r="M29" s="71">
        <f>IF(F29&lt;cr_floor,1,0)</f>
        <v>0.0</v>
      </c>
      <c r="N29" s="71">
        <f>IF(H29&lt;cr_floor,1,0)</f>
        <v>0.0</v>
      </c>
      <c r="O29" s="71">
        <f>IF(F29&lt;0,1,0)</f>
        <v>0.0</v>
      </c>
    </row>
    <row r="30" spans="2:16" s="1" customFormat="1">
      <c r="B30" s="68" t="s">
        <v>73</v>
      </c>
      <c r="C30" s="71" t="str">
        <f>"Tightest "&amp;IF(cr_low&lt;0,"-","")&amp;"$"&amp;TEXT(ABS(cr_low),"#,##0")&amp;"  ·  "&amp;TEXT(cr_low_date,"d mmm")</f>
        <v>Tightest $6,480  ·  15 Jan</v>
      </c>
      <c r="E30" s="70">
        <f>'Forecast'!B31</f>
        <v>46352.0</v>
      </c>
      <c r="F30" s="71">
        <f>'Forecast'!F31</f>
        <v>20160.0</v>
      </c>
      <c r="G30" s="71">
        <f>cr_floor+0</f>
        <v>5000.0</v>
      </c>
      <c r="H30" s="71">
        <f>'Forecast'!H31</f>
        <v>10360.0</v>
      </c>
      <c r="I30" s="71" t="e">
        <f>IF(AND(E30=cr_low_date,cr_no_answer=0),F30,NA())</f>
        <v>#N/A</v>
      </c>
      <c r="J30" s="71" t="e">
        <f>IF(AND(E30=cr_late_date,cr_late_low&lt;cr_low,cr_no_answer=0),H30,NA())</f>
        <v>#N/A</v>
      </c>
      <c r="K30" s="71" t="e">
        <f>IF(E30=cr_last,F30,NA())</f>
        <v>#N/A</v>
      </c>
      <c r="L30" s="71" t="e">
        <f>IF(E30=cr_start+8,G30,NA())</f>
        <v>#N/A</v>
      </c>
      <c r="M30" s="71">
        <f>IF(F30&lt;cr_floor,1,0)</f>
        <v>0.0</v>
      </c>
      <c r="N30" s="71">
        <f>IF(H30&lt;cr_floor,1,0)</f>
        <v>0.0</v>
      </c>
      <c r="O30" s="71">
        <f>IF(F30&lt;0,1,0)</f>
        <v>0.0</v>
      </c>
    </row>
    <row r="31" spans="2:16" s="1" customFormat="1">
      <c r="B31" s="68" t="s">
        <v>74</v>
      </c>
      <c r="C31" s="71" t="str">
        <f>"If late "&amp;IF(cr_late_low&lt;0,"-","")&amp;"$"&amp;TEXT(ABS(cr_late_low),"#,##0")&amp;"  ·  "&amp;TEXT(cr_late_date,"d mmm")</f>
        <v>If late $660  ·  1 Dec</v>
      </c>
      <c r="E31" s="70">
        <f>'Forecast'!B32</f>
        <v>46353.0</v>
      </c>
      <c r="F31" s="71">
        <f>'Forecast'!F32</f>
        <v>18360.0</v>
      </c>
      <c r="G31" s="71">
        <f>cr_floor+0</f>
        <v>5000.0</v>
      </c>
      <c r="H31" s="71">
        <f>'Forecast'!H32</f>
        <v>8560.0</v>
      </c>
      <c r="I31" s="71" t="e">
        <f>IF(AND(E31=cr_low_date,cr_no_answer=0),F31,NA())</f>
        <v>#N/A</v>
      </c>
      <c r="J31" s="71" t="e">
        <f>IF(AND(E31=cr_late_date,cr_late_low&lt;cr_low,cr_no_answer=0),H31,NA())</f>
        <v>#N/A</v>
      </c>
      <c r="K31" s="71" t="e">
        <f>IF(E31=cr_last,F31,NA())</f>
        <v>#N/A</v>
      </c>
      <c r="L31" s="71" t="e">
        <f>IF(E31=cr_start+8,G31,NA())</f>
        <v>#N/A</v>
      </c>
      <c r="M31" s="71">
        <f>IF(F31&lt;cr_floor,1,0)</f>
        <v>0.0</v>
      </c>
      <c r="N31" s="71">
        <f>IF(H31&lt;cr_floor,1,0)</f>
        <v>0.0</v>
      </c>
      <c r="O31" s="71">
        <f>IF(F31&lt;0,1,0)</f>
        <v>0.0</v>
      </c>
    </row>
    <row r="32" spans="2:16" s="1" customFormat="1">
      <c r="B32" s="68" t="s">
        <v>75</v>
      </c>
      <c r="C32" s="71" t="str">
        <f>"Floor "&amp;IF(cr_floor&lt;0,"-","")&amp;"$"&amp;TEXT(ABS(cr_floor),"#,##0")</f>
        <v>Floor $5,000</v>
      </c>
      <c r="E32" s="70">
        <f>'Forecast'!B33</f>
        <v>46354.0</v>
      </c>
      <c r="F32" s="71">
        <f>'Forecast'!F33</f>
        <v>18360.0</v>
      </c>
      <c r="G32" s="71">
        <f>cr_floor+0</f>
        <v>5000.0</v>
      </c>
      <c r="H32" s="71">
        <f>'Forecast'!H33</f>
        <v>8560.0</v>
      </c>
      <c r="I32" s="71" t="e">
        <f>IF(AND(E32=cr_low_date,cr_no_answer=0),F32,NA())</f>
        <v>#N/A</v>
      </c>
      <c r="J32" s="71" t="e">
        <f>IF(AND(E32=cr_late_date,cr_late_low&lt;cr_low,cr_no_answer=0),H32,NA())</f>
        <v>#N/A</v>
      </c>
      <c r="K32" s="71" t="e">
        <f>IF(E32=cr_last,F32,NA())</f>
        <v>#N/A</v>
      </c>
      <c r="L32" s="71" t="e">
        <f>IF(E32=cr_start+8,G32,NA())</f>
        <v>#N/A</v>
      </c>
      <c r="M32" s="71">
        <f>IF(F32&lt;cr_floor,1,0)</f>
        <v>0.0</v>
      </c>
      <c r="N32" s="71">
        <f>IF(H32&lt;cr_floor,1,0)</f>
        <v>0.0</v>
      </c>
      <c r="O32" s="71">
        <f>IF(F32&lt;0,1,0)</f>
        <v>0.0</v>
      </c>
    </row>
    <row r="33" spans="2:15" s="1" customFormat="1">
      <c r="B33" s="68" t="s">
        <v>76</v>
      </c>
      <c r="C33" s="71" t="str">
        <f>IF(cr_no_answer=1,"Counted lines only, not a forecast","Day 90 "&amp;IF(cr_end&lt;0,"-","")&amp;"$"&amp;TEXT(ABS(cr_end),"#,##0"))</f>
        <v>Day 90 $12,480</v>
      </c>
      <c r="E33" s="70">
        <f>'Forecast'!B34</f>
        <v>46355.0</v>
      </c>
      <c r="F33" s="71">
        <f>'Forecast'!F34</f>
        <v>18360.0</v>
      </c>
      <c r="G33" s="71">
        <f>cr_floor+0</f>
        <v>5000.0</v>
      </c>
      <c r="H33" s="71">
        <f>'Forecast'!H34</f>
        <v>8560.0</v>
      </c>
      <c r="I33" s="71" t="e">
        <f>IF(AND(E33=cr_low_date,cr_no_answer=0),F33,NA())</f>
        <v>#N/A</v>
      </c>
      <c r="J33" s="71" t="e">
        <f>IF(AND(E33=cr_late_date,cr_late_low&lt;cr_low,cr_no_answer=0),H33,NA())</f>
        <v>#N/A</v>
      </c>
      <c r="K33" s="71" t="e">
        <f>IF(E33=cr_last,F33,NA())</f>
        <v>#N/A</v>
      </c>
      <c r="L33" s="71" t="e">
        <f>IF(E33=cr_start+8,G33,NA())</f>
        <v>#N/A</v>
      </c>
      <c r="M33" s="71">
        <f>IF(F33&lt;cr_floor,1,0)</f>
        <v>0.0</v>
      </c>
      <c r="N33" s="71">
        <f>IF(H33&lt;cr_floor,1,0)</f>
        <v>0.0</v>
      </c>
      <c r="O33" s="71">
        <f>IF(F33&lt;0,1,0)</f>
        <v>0.0</v>
      </c>
    </row>
    <row r="34" spans="2:15" s="1" customFormat="1">
      <c r="E34" s="70">
        <f>'Forecast'!B35</f>
        <v>46356.0</v>
      </c>
      <c r="F34" s="71">
        <f>'Forecast'!F35</f>
        <v>14060.0</v>
      </c>
      <c r="G34" s="71">
        <f>cr_floor+0</f>
        <v>5000.0</v>
      </c>
      <c r="H34" s="71">
        <f>'Forecast'!H35</f>
        <v>4260.0</v>
      </c>
      <c r="I34" s="71" t="e">
        <f>IF(AND(E34=cr_low_date,cr_no_answer=0),F34,NA())</f>
        <v>#N/A</v>
      </c>
      <c r="J34" s="71" t="e">
        <f>IF(AND(E34=cr_late_date,cr_late_low&lt;cr_low,cr_no_answer=0),H34,NA())</f>
        <v>#N/A</v>
      </c>
      <c r="K34" s="71" t="e">
        <f>IF(E34=cr_last,F34,NA())</f>
        <v>#N/A</v>
      </c>
      <c r="L34" s="71" t="e">
        <f>IF(E34=cr_start+8,G34,NA())</f>
        <v>#N/A</v>
      </c>
      <c r="M34" s="71">
        <f>IF(F34&lt;cr_floor,1,0)</f>
        <v>0.0</v>
      </c>
      <c r="N34" s="71">
        <f>IF(H34&lt;cr_floor,1,0)</f>
        <v>1.0</v>
      </c>
      <c r="O34" s="71">
        <f>IF(F34&lt;0,1,0)</f>
        <v>0.0</v>
      </c>
    </row>
    <row r="35" spans="2:15" s="1" customFormat="1">
      <c r="E35" s="70">
        <f>'Forecast'!B36</f>
        <v>46357.0</v>
      </c>
      <c r="F35" s="71">
        <f>'Forecast'!F36</f>
        <v>10460.0</v>
      </c>
      <c r="G35" s="71">
        <f>cr_floor+0</f>
        <v>5000.0</v>
      </c>
      <c r="H35" s="71">
        <f>'Forecast'!H36</f>
        <v>660.0</v>
      </c>
      <c r="I35" s="71" t="e">
        <f>IF(AND(E35=cr_low_date,cr_no_answer=0),F35,NA())</f>
        <v>#N/A</v>
      </c>
      <c r="J35" s="71">
        <f>IF(AND(E35=cr_late_date,cr_late_low&lt;cr_low,cr_no_answer=0),H35,NA())</f>
        <v>660.0</v>
      </c>
      <c r="K35" s="71" t="e">
        <f>IF(E35=cr_last,F35,NA())</f>
        <v>#N/A</v>
      </c>
      <c r="L35" s="71" t="e">
        <f>IF(E35=cr_start+8,G35,NA())</f>
        <v>#N/A</v>
      </c>
      <c r="M35" s="71">
        <f>IF(F35&lt;cr_floor,1,0)</f>
        <v>0.0</v>
      </c>
      <c r="N35" s="71">
        <f>IF(H35&lt;cr_floor,1,0)</f>
        <v>1.0</v>
      </c>
      <c r="O35" s="71">
        <f>IF(F35&lt;0,1,0)</f>
        <v>0.0</v>
      </c>
    </row>
    <row r="36" spans="2:15" s="1" customFormat="1">
      <c r="E36" s="70">
        <f>'Forecast'!B37</f>
        <v>46358.0</v>
      </c>
      <c r="F36" s="71">
        <f>'Forecast'!F37</f>
        <v>10460.0</v>
      </c>
      <c r="G36" s="71">
        <f>cr_floor+0</f>
        <v>5000.0</v>
      </c>
      <c r="H36" s="71">
        <f>'Forecast'!H37</f>
        <v>660.0</v>
      </c>
      <c r="I36" s="71" t="e">
        <f>IF(AND(E36=cr_low_date,cr_no_answer=0),F36,NA())</f>
        <v>#N/A</v>
      </c>
      <c r="J36" s="71" t="e">
        <f>IF(AND(E36=cr_late_date,cr_late_low&lt;cr_low,cr_no_answer=0),H36,NA())</f>
        <v>#N/A</v>
      </c>
      <c r="K36" s="71" t="e">
        <f>IF(E36=cr_last,F36,NA())</f>
        <v>#N/A</v>
      </c>
      <c r="L36" s="71" t="e">
        <f>IF(E36=cr_start+8,G36,NA())</f>
        <v>#N/A</v>
      </c>
      <c r="M36" s="71">
        <f>IF(F36&lt;cr_floor,1,0)</f>
        <v>0.0</v>
      </c>
      <c r="N36" s="71">
        <f>IF(H36&lt;cr_floor,1,0)</f>
        <v>1.0</v>
      </c>
      <c r="O36" s="71">
        <f>IF(F36&lt;0,1,0)</f>
        <v>0.0</v>
      </c>
    </row>
    <row r="37" spans="2:15" s="1" customFormat="1">
      <c r="E37" s="70">
        <f>'Forecast'!B38</f>
        <v>46359.0</v>
      </c>
      <c r="F37" s="71">
        <f>'Forecast'!F38</f>
        <v>10460.0</v>
      </c>
      <c r="G37" s="71">
        <f>cr_floor+0</f>
        <v>5000.0</v>
      </c>
      <c r="H37" s="71">
        <f>'Forecast'!H38</f>
        <v>660.0</v>
      </c>
      <c r="I37" s="71" t="e">
        <f>IF(AND(E37=cr_low_date,cr_no_answer=0),F37,NA())</f>
        <v>#N/A</v>
      </c>
      <c r="J37" s="71" t="e">
        <f>IF(AND(E37=cr_late_date,cr_late_low&lt;cr_low,cr_no_answer=0),H37,NA())</f>
        <v>#N/A</v>
      </c>
      <c r="K37" s="71" t="e">
        <f>IF(E37=cr_last,F37,NA())</f>
        <v>#N/A</v>
      </c>
      <c r="L37" s="71" t="e">
        <f>IF(E37=cr_start+8,G37,NA())</f>
        <v>#N/A</v>
      </c>
      <c r="M37" s="71">
        <f>IF(F37&lt;cr_floor,1,0)</f>
        <v>0.0</v>
      </c>
      <c r="N37" s="71">
        <f>IF(H37&lt;cr_floor,1,0)</f>
        <v>1.0</v>
      </c>
      <c r="O37" s="71">
        <f>IF(F37&lt;0,1,0)</f>
        <v>0.0</v>
      </c>
    </row>
    <row r="38" spans="2:15" s="1" customFormat="1">
      <c r="E38" s="70">
        <f>'Forecast'!B39</f>
        <v>46360.0</v>
      </c>
      <c r="F38" s="71">
        <f>'Forecast'!F39</f>
        <v>9660.0</v>
      </c>
      <c r="G38" s="71">
        <f>cr_floor+0</f>
        <v>5000.0</v>
      </c>
      <c r="H38" s="71">
        <f>'Forecast'!H39</f>
        <v>9660.0</v>
      </c>
      <c r="I38" s="71" t="e">
        <f>IF(AND(E38=cr_low_date,cr_no_answer=0),F38,NA())</f>
        <v>#N/A</v>
      </c>
      <c r="J38" s="71" t="e">
        <f>IF(AND(E38=cr_late_date,cr_late_low&lt;cr_low,cr_no_answer=0),H38,NA())</f>
        <v>#N/A</v>
      </c>
      <c r="K38" s="71" t="e">
        <f>IF(E38=cr_last,F38,NA())</f>
        <v>#N/A</v>
      </c>
      <c r="L38" s="71" t="e">
        <f>IF(E38=cr_start+8,G38,NA())</f>
        <v>#N/A</v>
      </c>
      <c r="M38" s="71">
        <f>IF(F38&lt;cr_floor,1,0)</f>
        <v>0.0</v>
      </c>
      <c r="N38" s="71">
        <f>IF(H38&lt;cr_floor,1,0)</f>
        <v>0.0</v>
      </c>
      <c r="O38" s="71">
        <f>IF(F38&lt;0,1,0)</f>
        <v>0.0</v>
      </c>
    </row>
    <row r="39" spans="2:15" s="1" customFormat="1">
      <c r="E39" s="70">
        <f>'Forecast'!B40</f>
        <v>46361.0</v>
      </c>
      <c r="F39" s="71">
        <f>'Forecast'!F40</f>
        <v>9660.0</v>
      </c>
      <c r="G39" s="71">
        <f>cr_floor+0</f>
        <v>5000.0</v>
      </c>
      <c r="H39" s="71">
        <f>'Forecast'!H40</f>
        <v>9660.0</v>
      </c>
      <c r="I39" s="71" t="e">
        <f>IF(AND(E39=cr_low_date,cr_no_answer=0),F39,NA())</f>
        <v>#N/A</v>
      </c>
      <c r="J39" s="71" t="e">
        <f>IF(AND(E39=cr_late_date,cr_late_low&lt;cr_low,cr_no_answer=0),H39,NA())</f>
        <v>#N/A</v>
      </c>
      <c r="K39" s="71" t="e">
        <f>IF(E39=cr_last,F39,NA())</f>
        <v>#N/A</v>
      </c>
      <c r="L39" s="71" t="e">
        <f>IF(E39=cr_start+8,G39,NA())</f>
        <v>#N/A</v>
      </c>
      <c r="M39" s="71">
        <f>IF(F39&lt;cr_floor,1,0)</f>
        <v>0.0</v>
      </c>
      <c r="N39" s="71">
        <f>IF(H39&lt;cr_floor,1,0)</f>
        <v>0.0</v>
      </c>
      <c r="O39" s="71">
        <f>IF(F39&lt;0,1,0)</f>
        <v>0.0</v>
      </c>
    </row>
    <row r="40" spans="2:15" s="1" customFormat="1">
      <c r="E40" s="70">
        <f>'Forecast'!B41</f>
        <v>46362.0</v>
      </c>
      <c r="F40" s="71">
        <f>'Forecast'!F41</f>
        <v>9660.0</v>
      </c>
      <c r="G40" s="71">
        <f>cr_floor+0</f>
        <v>5000.0</v>
      </c>
      <c r="H40" s="71">
        <f>'Forecast'!H41</f>
        <v>9660.0</v>
      </c>
      <c r="I40" s="71" t="e">
        <f>IF(AND(E40=cr_low_date,cr_no_answer=0),F40,NA())</f>
        <v>#N/A</v>
      </c>
      <c r="J40" s="71" t="e">
        <f>IF(AND(E40=cr_late_date,cr_late_low&lt;cr_low,cr_no_answer=0),H40,NA())</f>
        <v>#N/A</v>
      </c>
      <c r="K40" s="71" t="e">
        <f>IF(E40=cr_last,F40,NA())</f>
        <v>#N/A</v>
      </c>
      <c r="L40" s="71" t="e">
        <f>IF(E40=cr_start+8,G40,NA())</f>
        <v>#N/A</v>
      </c>
      <c r="M40" s="71">
        <f>IF(F40&lt;cr_floor,1,0)</f>
        <v>0.0</v>
      </c>
      <c r="N40" s="71">
        <f>IF(H40&lt;cr_floor,1,0)</f>
        <v>0.0</v>
      </c>
      <c r="O40" s="71">
        <f>IF(F40&lt;0,1,0)</f>
        <v>0.0</v>
      </c>
    </row>
    <row r="41" spans="2:15" s="1" customFormat="1">
      <c r="E41" s="70">
        <f>'Forecast'!B42</f>
        <v>46363.0</v>
      </c>
      <c r="F41" s="71">
        <f>'Forecast'!F42</f>
        <v>9660.0</v>
      </c>
      <c r="G41" s="71">
        <f>cr_floor+0</f>
        <v>5000.0</v>
      </c>
      <c r="H41" s="71">
        <f>'Forecast'!H42</f>
        <v>9660.0</v>
      </c>
      <c r="I41" s="71" t="e">
        <f>IF(AND(E41=cr_low_date,cr_no_answer=0),F41,NA())</f>
        <v>#N/A</v>
      </c>
      <c r="J41" s="71" t="e">
        <f>IF(AND(E41=cr_late_date,cr_late_low&lt;cr_low,cr_no_answer=0),H41,NA())</f>
        <v>#N/A</v>
      </c>
      <c r="K41" s="71" t="e">
        <f>IF(E41=cr_last,F41,NA())</f>
        <v>#N/A</v>
      </c>
      <c r="L41" s="71" t="e">
        <f>IF(E41=cr_start+8,G41,NA())</f>
        <v>#N/A</v>
      </c>
      <c r="M41" s="71">
        <f>IF(F41&lt;cr_floor,1,0)</f>
        <v>0.0</v>
      </c>
      <c r="N41" s="71">
        <f>IF(H41&lt;cr_floor,1,0)</f>
        <v>0.0</v>
      </c>
      <c r="O41" s="71">
        <f>IF(F41&lt;0,1,0)</f>
        <v>0.0</v>
      </c>
    </row>
    <row r="42" spans="2:15" s="1" customFormat="1">
      <c r="E42" s="70">
        <f>'Forecast'!B43</f>
        <v>46364.0</v>
      </c>
      <c r="F42" s="71">
        <f>'Forecast'!F43</f>
        <v>9660.0</v>
      </c>
      <c r="G42" s="71">
        <f>cr_floor+0</f>
        <v>5000.0</v>
      </c>
      <c r="H42" s="71">
        <f>'Forecast'!H43</f>
        <v>9660.0</v>
      </c>
      <c r="I42" s="71" t="e">
        <f>IF(AND(E42=cr_low_date,cr_no_answer=0),F42,NA())</f>
        <v>#N/A</v>
      </c>
      <c r="J42" s="71" t="e">
        <f>IF(AND(E42=cr_late_date,cr_late_low&lt;cr_low,cr_no_answer=0),H42,NA())</f>
        <v>#N/A</v>
      </c>
      <c r="K42" s="71" t="e">
        <f>IF(E42=cr_last,F42,NA())</f>
        <v>#N/A</v>
      </c>
      <c r="L42" s="71" t="e">
        <f>IF(E42=cr_start+8,G42,NA())</f>
        <v>#N/A</v>
      </c>
      <c r="M42" s="71">
        <f>IF(F42&lt;cr_floor,1,0)</f>
        <v>0.0</v>
      </c>
      <c r="N42" s="71">
        <f>IF(H42&lt;cr_floor,1,0)</f>
        <v>0.0</v>
      </c>
      <c r="O42" s="71">
        <f>IF(F42&lt;0,1,0)</f>
        <v>0.0</v>
      </c>
    </row>
    <row r="43" spans="2:15" s="1" customFormat="1">
      <c r="E43" s="70">
        <f>'Forecast'!B44</f>
        <v>46365.0</v>
      </c>
      <c r="F43" s="71">
        <f>'Forecast'!F44</f>
        <v>9470.0</v>
      </c>
      <c r="G43" s="71">
        <f>cr_floor+0</f>
        <v>5000.0</v>
      </c>
      <c r="H43" s="71">
        <f>'Forecast'!H44</f>
        <v>9470.0</v>
      </c>
      <c r="I43" s="71" t="e">
        <f>IF(AND(E43=cr_low_date,cr_no_answer=0),F43,NA())</f>
        <v>#N/A</v>
      </c>
      <c r="J43" s="71" t="e">
        <f>IF(AND(E43=cr_late_date,cr_late_low&lt;cr_low,cr_no_answer=0),H43,NA())</f>
        <v>#N/A</v>
      </c>
      <c r="K43" s="71" t="e">
        <f>IF(E43=cr_last,F43,NA())</f>
        <v>#N/A</v>
      </c>
      <c r="L43" s="71" t="e">
        <f>IF(E43=cr_start+8,G43,NA())</f>
        <v>#N/A</v>
      </c>
      <c r="M43" s="71">
        <f>IF(F43&lt;cr_floor,1,0)</f>
        <v>0.0</v>
      </c>
      <c r="N43" s="71">
        <f>IF(H43&lt;cr_floor,1,0)</f>
        <v>0.0</v>
      </c>
      <c r="O43" s="71">
        <f>IF(F43&lt;0,1,0)</f>
        <v>0.0</v>
      </c>
    </row>
    <row r="44" spans="2:15" s="1" customFormat="1">
      <c r="E44" s="70">
        <f>'Forecast'!B45</f>
        <v>46366.0</v>
      </c>
      <c r="F44" s="71">
        <f>'Forecast'!F45</f>
        <v>6570.0</v>
      </c>
      <c r="G44" s="71">
        <f>cr_floor+0</f>
        <v>5000.0</v>
      </c>
      <c r="H44" s="71">
        <f>'Forecast'!H45</f>
        <v>6570.0</v>
      </c>
      <c r="I44" s="71" t="e">
        <f>IF(AND(E44=cr_low_date,cr_no_answer=0),F44,NA())</f>
        <v>#N/A</v>
      </c>
      <c r="J44" s="71" t="e">
        <f>IF(AND(E44=cr_late_date,cr_late_low&lt;cr_low,cr_no_answer=0),H44,NA())</f>
        <v>#N/A</v>
      </c>
      <c r="K44" s="71" t="e">
        <f>IF(E44=cr_last,F44,NA())</f>
        <v>#N/A</v>
      </c>
      <c r="L44" s="71" t="e">
        <f>IF(E44=cr_start+8,G44,NA())</f>
        <v>#N/A</v>
      </c>
      <c r="M44" s="71">
        <f>IF(F44&lt;cr_floor,1,0)</f>
        <v>0.0</v>
      </c>
      <c r="N44" s="71">
        <f>IF(H44&lt;cr_floor,1,0)</f>
        <v>0.0</v>
      </c>
      <c r="O44" s="71">
        <f>IF(F44&lt;0,1,0)</f>
        <v>0.0</v>
      </c>
    </row>
    <row r="45" spans="2:15" s="1" customFormat="1">
      <c r="E45" s="70">
        <f>'Forecast'!B46</f>
        <v>46367.0</v>
      </c>
      <c r="F45" s="71">
        <f>'Forecast'!F46</f>
        <v>9170.0</v>
      </c>
      <c r="G45" s="71">
        <f>cr_floor+0</f>
        <v>5000.0</v>
      </c>
      <c r="H45" s="71">
        <f>'Forecast'!H46</f>
        <v>9170.0</v>
      </c>
      <c r="I45" s="71" t="e">
        <f>IF(AND(E45=cr_low_date,cr_no_answer=0),F45,NA())</f>
        <v>#N/A</v>
      </c>
      <c r="J45" s="71" t="e">
        <f>IF(AND(E45=cr_late_date,cr_late_low&lt;cr_low,cr_no_answer=0),H45,NA())</f>
        <v>#N/A</v>
      </c>
      <c r="K45" s="71" t="e">
        <f>IF(E45=cr_last,F45,NA())</f>
        <v>#N/A</v>
      </c>
      <c r="L45" s="71" t="e">
        <f>IF(E45=cr_start+8,G45,NA())</f>
        <v>#N/A</v>
      </c>
      <c r="M45" s="71">
        <f>IF(F45&lt;cr_floor,1,0)</f>
        <v>0.0</v>
      </c>
      <c r="N45" s="71">
        <f>IF(H45&lt;cr_floor,1,0)</f>
        <v>0.0</v>
      </c>
      <c r="O45" s="71">
        <f>IF(F45&lt;0,1,0)</f>
        <v>0.0</v>
      </c>
    </row>
    <row r="46" spans="2:15" s="1" customFormat="1">
      <c r="E46" s="70">
        <f>'Forecast'!B47</f>
        <v>46368.0</v>
      </c>
      <c r="F46" s="71">
        <f>'Forecast'!F47</f>
        <v>9170.0</v>
      </c>
      <c r="G46" s="71">
        <f>cr_floor+0</f>
        <v>5000.0</v>
      </c>
      <c r="H46" s="71">
        <f>'Forecast'!H47</f>
        <v>9170.0</v>
      </c>
      <c r="I46" s="71" t="e">
        <f>IF(AND(E46=cr_low_date,cr_no_answer=0),F46,NA())</f>
        <v>#N/A</v>
      </c>
      <c r="J46" s="71" t="e">
        <f>IF(AND(E46=cr_late_date,cr_late_low&lt;cr_low,cr_no_answer=0),H46,NA())</f>
        <v>#N/A</v>
      </c>
      <c r="K46" s="71" t="e">
        <f>IF(E46=cr_last,F46,NA())</f>
        <v>#N/A</v>
      </c>
      <c r="L46" s="71" t="e">
        <f>IF(E46=cr_start+8,G46,NA())</f>
        <v>#N/A</v>
      </c>
      <c r="M46" s="71">
        <f>IF(F46&lt;cr_floor,1,0)</f>
        <v>0.0</v>
      </c>
      <c r="N46" s="71">
        <f>IF(H46&lt;cr_floor,1,0)</f>
        <v>0.0</v>
      </c>
      <c r="O46" s="71">
        <f>IF(F46&lt;0,1,0)</f>
        <v>0.0</v>
      </c>
    </row>
    <row r="47" spans="2:15" s="1" customFormat="1">
      <c r="E47" s="70">
        <f>'Forecast'!B48</f>
        <v>46369.0</v>
      </c>
      <c r="F47" s="71">
        <f>'Forecast'!F48</f>
        <v>9170.0</v>
      </c>
      <c r="G47" s="71">
        <f>cr_floor+0</f>
        <v>5000.0</v>
      </c>
      <c r="H47" s="71">
        <f>'Forecast'!H48</f>
        <v>9170.0</v>
      </c>
      <c r="I47" s="71" t="e">
        <f>IF(AND(E47=cr_low_date,cr_no_answer=0),F47,NA())</f>
        <v>#N/A</v>
      </c>
      <c r="J47" s="71" t="e">
        <f>IF(AND(E47=cr_late_date,cr_late_low&lt;cr_low,cr_no_answer=0),H47,NA())</f>
        <v>#N/A</v>
      </c>
      <c r="K47" s="71" t="e">
        <f>IF(E47=cr_last,F47,NA())</f>
        <v>#N/A</v>
      </c>
      <c r="L47" s="71" t="e">
        <f>IF(E47=cr_start+8,G47,NA())</f>
        <v>#N/A</v>
      </c>
      <c r="M47" s="71">
        <f>IF(F47&lt;cr_floor,1,0)</f>
        <v>0.0</v>
      </c>
      <c r="N47" s="71">
        <f>IF(H47&lt;cr_floor,1,0)</f>
        <v>0.0</v>
      </c>
      <c r="O47" s="71">
        <f>IF(F47&lt;0,1,0)</f>
        <v>0.0</v>
      </c>
    </row>
    <row r="48" spans="2:15" s="1" customFormat="1">
      <c r="E48" s="70">
        <f>'Forecast'!B49</f>
        <v>46370.0</v>
      </c>
      <c r="F48" s="71">
        <f>'Forecast'!F49</f>
        <v>12670.0</v>
      </c>
      <c r="G48" s="71">
        <f>cr_floor+0</f>
        <v>5000.0</v>
      </c>
      <c r="H48" s="71">
        <f>'Forecast'!H49</f>
        <v>12670.0</v>
      </c>
      <c r="I48" s="71" t="e">
        <f>IF(AND(E48=cr_low_date,cr_no_answer=0),F48,NA())</f>
        <v>#N/A</v>
      </c>
      <c r="J48" s="71" t="e">
        <f>IF(AND(E48=cr_late_date,cr_late_low&lt;cr_low,cr_no_answer=0),H48,NA())</f>
        <v>#N/A</v>
      </c>
      <c r="K48" s="71" t="e">
        <f>IF(E48=cr_last,F48,NA())</f>
        <v>#N/A</v>
      </c>
      <c r="L48" s="71" t="e">
        <f>IF(E48=cr_start+8,G48,NA())</f>
        <v>#N/A</v>
      </c>
      <c r="M48" s="71">
        <f>IF(F48&lt;cr_floor,1,0)</f>
        <v>0.0</v>
      </c>
      <c r="N48" s="71">
        <f>IF(H48&lt;cr_floor,1,0)</f>
        <v>0.0</v>
      </c>
      <c r="O48" s="71">
        <f>IF(F48&lt;0,1,0)</f>
        <v>0.0</v>
      </c>
    </row>
    <row r="49" spans="5:15" s="1" customFormat="1">
      <c r="E49" s="70">
        <f>'Forecast'!B50</f>
        <v>46371.0</v>
      </c>
      <c r="F49" s="71">
        <f>'Forecast'!F50</f>
        <v>10820.0</v>
      </c>
      <c r="G49" s="71">
        <f>cr_floor+0</f>
        <v>5000.0</v>
      </c>
      <c r="H49" s="71">
        <f>'Forecast'!H50</f>
        <v>10820.0</v>
      </c>
      <c r="I49" s="71" t="e">
        <f>IF(AND(E49=cr_low_date,cr_no_answer=0),F49,NA())</f>
        <v>#N/A</v>
      </c>
      <c r="J49" s="71" t="e">
        <f>IF(AND(E49=cr_late_date,cr_late_low&lt;cr_low,cr_no_answer=0),H49,NA())</f>
        <v>#N/A</v>
      </c>
      <c r="K49" s="71" t="e">
        <f>IF(E49=cr_last,F49,NA())</f>
        <v>#N/A</v>
      </c>
      <c r="L49" s="71" t="e">
        <f>IF(E49=cr_start+8,G49,NA())</f>
        <v>#N/A</v>
      </c>
      <c r="M49" s="71">
        <f>IF(F49&lt;cr_floor,1,0)</f>
        <v>0.0</v>
      </c>
      <c r="N49" s="71">
        <f>IF(H49&lt;cr_floor,1,0)</f>
        <v>0.0</v>
      </c>
      <c r="O49" s="71">
        <f>IF(F49&lt;0,1,0)</f>
        <v>0.0</v>
      </c>
    </row>
    <row r="50" spans="5:15" s="1" customFormat="1">
      <c r="E50" s="70">
        <f>'Forecast'!B51</f>
        <v>46372.0</v>
      </c>
      <c r="F50" s="71">
        <f>'Forecast'!F51</f>
        <v>10820.0</v>
      </c>
      <c r="G50" s="71">
        <f>cr_floor+0</f>
        <v>5000.0</v>
      </c>
      <c r="H50" s="71">
        <f>'Forecast'!H51</f>
        <v>10820.0</v>
      </c>
      <c r="I50" s="71" t="e">
        <f>IF(AND(E50=cr_low_date,cr_no_answer=0),F50,NA())</f>
        <v>#N/A</v>
      </c>
      <c r="J50" s="71" t="e">
        <f>IF(AND(E50=cr_late_date,cr_late_low&lt;cr_low,cr_no_answer=0),H50,NA())</f>
        <v>#N/A</v>
      </c>
      <c r="K50" s="71" t="e">
        <f>IF(E50=cr_last,F50,NA())</f>
        <v>#N/A</v>
      </c>
      <c r="L50" s="71" t="e">
        <f>IF(E50=cr_start+8,G50,NA())</f>
        <v>#N/A</v>
      </c>
      <c r="M50" s="71">
        <f>IF(F50&lt;cr_floor,1,0)</f>
        <v>0.0</v>
      </c>
      <c r="N50" s="71">
        <f>IF(H50&lt;cr_floor,1,0)</f>
        <v>0.0</v>
      </c>
      <c r="O50" s="71">
        <f>IF(F50&lt;0,1,0)</f>
        <v>0.0</v>
      </c>
    </row>
    <row r="51" spans="5:15" s="1" customFormat="1">
      <c r="E51" s="70">
        <f>'Forecast'!B52</f>
        <v>46373.0</v>
      </c>
      <c r="F51" s="71">
        <f>'Forecast'!F52</f>
        <v>10820.0</v>
      </c>
      <c r="G51" s="71">
        <f>cr_floor+0</f>
        <v>5000.0</v>
      </c>
      <c r="H51" s="71">
        <f>'Forecast'!H52</f>
        <v>10820.0</v>
      </c>
      <c r="I51" s="71" t="e">
        <f>IF(AND(E51=cr_low_date,cr_no_answer=0),F51,NA())</f>
        <v>#N/A</v>
      </c>
      <c r="J51" s="71" t="e">
        <f>IF(AND(E51=cr_late_date,cr_late_low&lt;cr_low,cr_no_answer=0),H51,NA())</f>
        <v>#N/A</v>
      </c>
      <c r="K51" s="71" t="e">
        <f>IF(E51=cr_last,F51,NA())</f>
        <v>#N/A</v>
      </c>
      <c r="L51" s="71" t="e">
        <f>IF(E51=cr_start+8,G51,NA())</f>
        <v>#N/A</v>
      </c>
      <c r="M51" s="71">
        <f>IF(F51&lt;cr_floor,1,0)</f>
        <v>0.0</v>
      </c>
      <c r="N51" s="71">
        <f>IF(H51&lt;cr_floor,1,0)</f>
        <v>0.0</v>
      </c>
      <c r="O51" s="71">
        <f>IF(F51&lt;0,1,0)</f>
        <v>0.0</v>
      </c>
    </row>
    <row r="52" spans="5:15" s="1" customFormat="1">
      <c r="E52" s="70">
        <f>'Forecast'!B53</f>
        <v>46374.0</v>
      </c>
      <c r="F52" s="71">
        <f>'Forecast'!F53</f>
        <v>8520.0</v>
      </c>
      <c r="G52" s="71">
        <f>cr_floor+0</f>
        <v>5000.0</v>
      </c>
      <c r="H52" s="71">
        <f>'Forecast'!H53</f>
        <v>8520.0</v>
      </c>
      <c r="I52" s="71" t="e">
        <f>IF(AND(E52=cr_low_date,cr_no_answer=0),F52,NA())</f>
        <v>#N/A</v>
      </c>
      <c r="J52" s="71" t="e">
        <f>IF(AND(E52=cr_late_date,cr_late_low&lt;cr_low,cr_no_answer=0),H52,NA())</f>
        <v>#N/A</v>
      </c>
      <c r="K52" s="71" t="e">
        <f>IF(E52=cr_last,F52,NA())</f>
        <v>#N/A</v>
      </c>
      <c r="L52" s="71" t="e">
        <f>IF(E52=cr_start+8,G52,NA())</f>
        <v>#N/A</v>
      </c>
      <c r="M52" s="71">
        <f>IF(F52&lt;cr_floor,1,0)</f>
        <v>0.0</v>
      </c>
      <c r="N52" s="71">
        <f>IF(H52&lt;cr_floor,1,0)</f>
        <v>0.0</v>
      </c>
      <c r="O52" s="71">
        <f>IF(F52&lt;0,1,0)</f>
        <v>0.0</v>
      </c>
    </row>
    <row r="53" spans="5:15" s="1" customFormat="1">
      <c r="E53" s="70">
        <f>'Forecast'!B54</f>
        <v>46375.0</v>
      </c>
      <c r="F53" s="71">
        <f>'Forecast'!F54</f>
        <v>8520.0</v>
      </c>
      <c r="G53" s="71">
        <f>cr_floor+0</f>
        <v>5000.0</v>
      </c>
      <c r="H53" s="71">
        <f>'Forecast'!H54</f>
        <v>8520.0</v>
      </c>
      <c r="I53" s="71" t="e">
        <f>IF(AND(E53=cr_low_date,cr_no_answer=0),F53,NA())</f>
        <v>#N/A</v>
      </c>
      <c r="J53" s="71" t="e">
        <f>IF(AND(E53=cr_late_date,cr_late_low&lt;cr_low,cr_no_answer=0),H53,NA())</f>
        <v>#N/A</v>
      </c>
      <c r="K53" s="71" t="e">
        <f>IF(E53=cr_last,F53,NA())</f>
        <v>#N/A</v>
      </c>
      <c r="L53" s="71" t="e">
        <f>IF(E53=cr_start+8,G53,NA())</f>
        <v>#N/A</v>
      </c>
      <c r="M53" s="71">
        <f>IF(F53&lt;cr_floor,1,0)</f>
        <v>0.0</v>
      </c>
      <c r="N53" s="71">
        <f>IF(H53&lt;cr_floor,1,0)</f>
        <v>0.0</v>
      </c>
      <c r="O53" s="71">
        <f>IF(F53&lt;0,1,0)</f>
        <v>0.0</v>
      </c>
    </row>
    <row r="54" spans="5:15" s="1" customFormat="1">
      <c r="E54" s="70">
        <f>'Forecast'!B55</f>
        <v>46376.0</v>
      </c>
      <c r="F54" s="71">
        <f>'Forecast'!F55</f>
        <v>8520.0</v>
      </c>
      <c r="G54" s="71">
        <f>cr_floor+0</f>
        <v>5000.0</v>
      </c>
      <c r="H54" s="71">
        <f>'Forecast'!H55</f>
        <v>8520.0</v>
      </c>
      <c r="I54" s="71" t="e">
        <f>IF(AND(E54=cr_low_date,cr_no_answer=0),F54,NA())</f>
        <v>#N/A</v>
      </c>
      <c r="J54" s="71" t="e">
        <f>IF(AND(E54=cr_late_date,cr_late_low&lt;cr_low,cr_no_answer=0),H54,NA())</f>
        <v>#N/A</v>
      </c>
      <c r="K54" s="71" t="e">
        <f>IF(E54=cr_last,F54,NA())</f>
        <v>#N/A</v>
      </c>
      <c r="L54" s="71" t="e">
        <f>IF(E54=cr_start+8,G54,NA())</f>
        <v>#N/A</v>
      </c>
      <c r="M54" s="71">
        <f>IF(F54&lt;cr_floor,1,0)</f>
        <v>0.0</v>
      </c>
      <c r="N54" s="71">
        <f>IF(H54&lt;cr_floor,1,0)</f>
        <v>0.0</v>
      </c>
      <c r="O54" s="71">
        <f>IF(F54&lt;0,1,0)</f>
        <v>0.0</v>
      </c>
    </row>
    <row r="55" spans="5:15" s="1" customFormat="1">
      <c r="E55" s="70">
        <f>'Forecast'!B56</f>
        <v>46377.0</v>
      </c>
      <c r="F55" s="71">
        <f>'Forecast'!F56</f>
        <v>8520.0</v>
      </c>
      <c r="G55" s="71">
        <f>cr_floor+0</f>
        <v>5000.0</v>
      </c>
      <c r="H55" s="71">
        <f>'Forecast'!H56</f>
        <v>8520.0</v>
      </c>
      <c r="I55" s="71" t="e">
        <f>IF(AND(E55=cr_low_date,cr_no_answer=0),F55,NA())</f>
        <v>#N/A</v>
      </c>
      <c r="J55" s="71" t="e">
        <f>IF(AND(E55=cr_late_date,cr_late_low&lt;cr_low,cr_no_answer=0),H55,NA())</f>
        <v>#N/A</v>
      </c>
      <c r="K55" s="71" t="e">
        <f>IF(E55=cr_last,F55,NA())</f>
        <v>#N/A</v>
      </c>
      <c r="L55" s="71" t="e">
        <f>IF(E55=cr_start+8,G55,NA())</f>
        <v>#N/A</v>
      </c>
      <c r="M55" s="71">
        <f>IF(F55&lt;cr_floor,1,0)</f>
        <v>0.0</v>
      </c>
      <c r="N55" s="71">
        <f>IF(H55&lt;cr_floor,1,0)</f>
        <v>0.0</v>
      </c>
      <c r="O55" s="71">
        <f>IF(F55&lt;0,1,0)</f>
        <v>0.0</v>
      </c>
    </row>
    <row r="56" spans="5:15" s="1" customFormat="1">
      <c r="E56" s="70">
        <f>'Forecast'!B57</f>
        <v>46378.0</v>
      </c>
      <c r="F56" s="71">
        <f>'Forecast'!F57</f>
        <v>8520.0</v>
      </c>
      <c r="G56" s="71">
        <f>cr_floor+0</f>
        <v>5000.0</v>
      </c>
      <c r="H56" s="71">
        <f>'Forecast'!H57</f>
        <v>8520.0</v>
      </c>
      <c r="I56" s="71" t="e">
        <f>IF(AND(E56=cr_low_date,cr_no_answer=0),F56,NA())</f>
        <v>#N/A</v>
      </c>
      <c r="J56" s="71" t="e">
        <f>IF(AND(E56=cr_late_date,cr_late_low&lt;cr_low,cr_no_answer=0),H56,NA())</f>
        <v>#N/A</v>
      </c>
      <c r="K56" s="71" t="e">
        <f>IF(E56=cr_last,F56,NA())</f>
        <v>#N/A</v>
      </c>
      <c r="L56" s="71" t="e">
        <f>IF(E56=cr_start+8,G56,NA())</f>
        <v>#N/A</v>
      </c>
      <c r="M56" s="71">
        <f>IF(F56&lt;cr_floor,1,0)</f>
        <v>0.0</v>
      </c>
      <c r="N56" s="71">
        <f>IF(H56&lt;cr_floor,1,0)</f>
        <v>0.0</v>
      </c>
      <c r="O56" s="71">
        <f>IF(F56&lt;0,1,0)</f>
        <v>0.0</v>
      </c>
    </row>
    <row r="57" spans="5:15" s="1" customFormat="1">
      <c r="E57" s="70">
        <f>'Forecast'!B58</f>
        <v>46379.0</v>
      </c>
      <c r="F57" s="71">
        <f>'Forecast'!F58</f>
        <v>8520.0</v>
      </c>
      <c r="G57" s="71">
        <f>cr_floor+0</f>
        <v>5000.0</v>
      </c>
      <c r="H57" s="71">
        <f>'Forecast'!H58</f>
        <v>8520.0</v>
      </c>
      <c r="I57" s="71" t="e">
        <f>IF(AND(E57=cr_low_date,cr_no_answer=0),F57,NA())</f>
        <v>#N/A</v>
      </c>
      <c r="J57" s="71" t="e">
        <f>IF(AND(E57=cr_late_date,cr_late_low&lt;cr_low,cr_no_answer=0),H57,NA())</f>
        <v>#N/A</v>
      </c>
      <c r="K57" s="71" t="e">
        <f>IF(E57=cr_last,F57,NA())</f>
        <v>#N/A</v>
      </c>
      <c r="L57" s="71" t="e">
        <f>IF(E57=cr_start+8,G57,NA())</f>
        <v>#N/A</v>
      </c>
      <c r="M57" s="71">
        <f>IF(F57&lt;cr_floor,1,0)</f>
        <v>0.0</v>
      </c>
      <c r="N57" s="71">
        <f>IF(H57&lt;cr_floor,1,0)</f>
        <v>0.0</v>
      </c>
      <c r="O57" s="71">
        <f>IF(F57&lt;0,1,0)</f>
        <v>0.0</v>
      </c>
    </row>
    <row r="58" spans="5:15" s="1" customFormat="1">
      <c r="E58" s="70">
        <f>'Forecast'!B59</f>
        <v>46380.0</v>
      </c>
      <c r="F58" s="71">
        <f>'Forecast'!F59</f>
        <v>8520.0</v>
      </c>
      <c r="G58" s="71">
        <f>cr_floor+0</f>
        <v>5000.0</v>
      </c>
      <c r="H58" s="71">
        <f>'Forecast'!H59</f>
        <v>8520.0</v>
      </c>
      <c r="I58" s="71" t="e">
        <f>IF(AND(E58=cr_low_date,cr_no_answer=0),F58,NA())</f>
        <v>#N/A</v>
      </c>
      <c r="J58" s="71" t="e">
        <f>IF(AND(E58=cr_late_date,cr_late_low&lt;cr_low,cr_no_answer=0),H58,NA())</f>
        <v>#N/A</v>
      </c>
      <c r="K58" s="71" t="e">
        <f>IF(E58=cr_last,F58,NA())</f>
        <v>#N/A</v>
      </c>
      <c r="L58" s="71" t="e">
        <f>IF(E58=cr_start+8,G58,NA())</f>
        <v>#N/A</v>
      </c>
      <c r="M58" s="71">
        <f>IF(F58&lt;cr_floor,1,0)</f>
        <v>0.0</v>
      </c>
      <c r="N58" s="71">
        <f>IF(H58&lt;cr_floor,1,0)</f>
        <v>0.0</v>
      </c>
      <c r="O58" s="71">
        <f>IF(F58&lt;0,1,0)</f>
        <v>0.0</v>
      </c>
    </row>
    <row r="59" spans="5:15" s="1" customFormat="1">
      <c r="E59" s="70">
        <f>'Forecast'!B60</f>
        <v>46381.0</v>
      </c>
      <c r="F59" s="71">
        <f>'Forecast'!F60</f>
        <v>11120.0</v>
      </c>
      <c r="G59" s="71">
        <f>cr_floor+0</f>
        <v>5000.0</v>
      </c>
      <c r="H59" s="71">
        <f>'Forecast'!H60</f>
        <v>11120.0</v>
      </c>
      <c r="I59" s="71" t="e">
        <f>IF(AND(E59=cr_low_date,cr_no_answer=0),F59,NA())</f>
        <v>#N/A</v>
      </c>
      <c r="J59" s="71" t="e">
        <f>IF(AND(E59=cr_late_date,cr_late_low&lt;cr_low,cr_no_answer=0),H59,NA())</f>
        <v>#N/A</v>
      </c>
      <c r="K59" s="71" t="e">
        <f>IF(E59=cr_last,F59,NA())</f>
        <v>#N/A</v>
      </c>
      <c r="L59" s="71" t="e">
        <f>IF(E59=cr_start+8,G59,NA())</f>
        <v>#N/A</v>
      </c>
      <c r="M59" s="71">
        <f>IF(F59&lt;cr_floor,1,0)</f>
        <v>0.0</v>
      </c>
      <c r="N59" s="71">
        <f>IF(H59&lt;cr_floor,1,0)</f>
        <v>0.0</v>
      </c>
      <c r="O59" s="71">
        <f>IF(F59&lt;0,1,0)</f>
        <v>0.0</v>
      </c>
    </row>
    <row r="60" spans="5:15" s="1" customFormat="1">
      <c r="E60" s="70">
        <f>'Forecast'!B61</f>
        <v>46382.0</v>
      </c>
      <c r="F60" s="71">
        <f>'Forecast'!F61</f>
        <v>11120.0</v>
      </c>
      <c r="G60" s="71">
        <f>cr_floor+0</f>
        <v>5000.0</v>
      </c>
      <c r="H60" s="71">
        <f>'Forecast'!H61</f>
        <v>11120.0</v>
      </c>
      <c r="I60" s="71" t="e">
        <f>IF(AND(E60=cr_low_date,cr_no_answer=0),F60,NA())</f>
        <v>#N/A</v>
      </c>
      <c r="J60" s="71" t="e">
        <f>IF(AND(E60=cr_late_date,cr_late_low&lt;cr_low,cr_no_answer=0),H60,NA())</f>
        <v>#N/A</v>
      </c>
      <c r="K60" s="71" t="e">
        <f>IF(E60=cr_last,F60,NA())</f>
        <v>#N/A</v>
      </c>
      <c r="L60" s="71" t="e">
        <f>IF(E60=cr_start+8,G60,NA())</f>
        <v>#N/A</v>
      </c>
      <c r="M60" s="71">
        <f>IF(F60&lt;cr_floor,1,0)</f>
        <v>0.0</v>
      </c>
      <c r="N60" s="71">
        <f>IF(H60&lt;cr_floor,1,0)</f>
        <v>0.0</v>
      </c>
      <c r="O60" s="71">
        <f>IF(F60&lt;0,1,0)</f>
        <v>0.0</v>
      </c>
    </row>
    <row r="61" spans="5:15" s="1" customFormat="1">
      <c r="E61" s="70">
        <f>'Forecast'!B62</f>
        <v>46383.0</v>
      </c>
      <c r="F61" s="71">
        <f>'Forecast'!F62</f>
        <v>11120.0</v>
      </c>
      <c r="G61" s="71">
        <f>cr_floor+0</f>
        <v>5000.0</v>
      </c>
      <c r="H61" s="71">
        <f>'Forecast'!H62</f>
        <v>11120.0</v>
      </c>
      <c r="I61" s="71" t="e">
        <f>IF(AND(E61=cr_low_date,cr_no_answer=0),F61,NA())</f>
        <v>#N/A</v>
      </c>
      <c r="J61" s="71" t="e">
        <f>IF(AND(E61=cr_late_date,cr_late_low&lt;cr_low,cr_no_answer=0),H61,NA())</f>
        <v>#N/A</v>
      </c>
      <c r="K61" s="71" t="e">
        <f>IF(E61=cr_last,F61,NA())</f>
        <v>#N/A</v>
      </c>
      <c r="L61" s="71" t="e">
        <f>IF(E61=cr_start+8,G61,NA())</f>
        <v>#N/A</v>
      </c>
      <c r="M61" s="71">
        <f>IF(F61&lt;cr_floor,1,0)</f>
        <v>0.0</v>
      </c>
      <c r="N61" s="71">
        <f>IF(H61&lt;cr_floor,1,0)</f>
        <v>0.0</v>
      </c>
      <c r="O61" s="71">
        <f>IF(F61&lt;0,1,0)</f>
        <v>0.0</v>
      </c>
    </row>
    <row r="62" spans="5:15" s="1" customFormat="1">
      <c r="E62" s="70">
        <f>'Forecast'!B63</f>
        <v>46384.0</v>
      </c>
      <c r="F62" s="71">
        <f>'Forecast'!F63</f>
        <v>11120.0</v>
      </c>
      <c r="G62" s="71">
        <f>cr_floor+0</f>
        <v>5000.0</v>
      </c>
      <c r="H62" s="71">
        <f>'Forecast'!H63</f>
        <v>11120.0</v>
      </c>
      <c r="I62" s="71" t="e">
        <f>IF(AND(E62=cr_low_date,cr_no_answer=0),F62,NA())</f>
        <v>#N/A</v>
      </c>
      <c r="J62" s="71" t="e">
        <f>IF(AND(E62=cr_late_date,cr_late_low&lt;cr_low,cr_no_answer=0),H62,NA())</f>
        <v>#N/A</v>
      </c>
      <c r="K62" s="71" t="e">
        <f>IF(E62=cr_last,F62,NA())</f>
        <v>#N/A</v>
      </c>
      <c r="L62" s="71" t="e">
        <f>IF(E62=cr_start+8,G62,NA())</f>
        <v>#N/A</v>
      </c>
      <c r="M62" s="71">
        <f>IF(F62&lt;cr_floor,1,0)</f>
        <v>0.0</v>
      </c>
      <c r="N62" s="71">
        <f>IF(H62&lt;cr_floor,1,0)</f>
        <v>0.0</v>
      </c>
      <c r="O62" s="71">
        <f>IF(F62&lt;0,1,0)</f>
        <v>0.0</v>
      </c>
    </row>
    <row r="63" spans="5:15" s="1" customFormat="1">
      <c r="E63" s="70">
        <f>'Forecast'!B64</f>
        <v>46385.0</v>
      </c>
      <c r="F63" s="71">
        <f>'Forecast'!F64</f>
        <v>11120.0</v>
      </c>
      <c r="G63" s="71">
        <f>cr_floor+0</f>
        <v>5000.0</v>
      </c>
      <c r="H63" s="71">
        <f>'Forecast'!H64</f>
        <v>11120.0</v>
      </c>
      <c r="I63" s="71" t="e">
        <f>IF(AND(E63=cr_low_date,cr_no_answer=0),F63,NA())</f>
        <v>#N/A</v>
      </c>
      <c r="J63" s="71" t="e">
        <f>IF(AND(E63=cr_late_date,cr_late_low&lt;cr_low,cr_no_answer=0),H63,NA())</f>
        <v>#N/A</v>
      </c>
      <c r="K63" s="71" t="e">
        <f>IF(E63=cr_last,F63,NA())</f>
        <v>#N/A</v>
      </c>
      <c r="L63" s="71" t="e">
        <f>IF(E63=cr_start+8,G63,NA())</f>
        <v>#N/A</v>
      </c>
      <c r="M63" s="71">
        <f>IF(F63&lt;cr_floor,1,0)</f>
        <v>0.0</v>
      </c>
      <c r="N63" s="71">
        <f>IF(H63&lt;cr_floor,1,0)</f>
        <v>0.0</v>
      </c>
      <c r="O63" s="71">
        <f>IF(F63&lt;0,1,0)</f>
        <v>0.0</v>
      </c>
    </row>
    <row r="64" spans="5:15" s="1" customFormat="1">
      <c r="E64" s="70">
        <f>'Forecast'!B65</f>
        <v>46386.0</v>
      </c>
      <c r="F64" s="71">
        <f>'Forecast'!F65</f>
        <v>11120.0</v>
      </c>
      <c r="G64" s="71">
        <f>cr_floor+0</f>
        <v>5000.0</v>
      </c>
      <c r="H64" s="71">
        <f>'Forecast'!H65</f>
        <v>11120.0</v>
      </c>
      <c r="I64" s="71" t="e">
        <f>IF(AND(E64=cr_low_date,cr_no_answer=0),F64,NA())</f>
        <v>#N/A</v>
      </c>
      <c r="J64" s="71" t="e">
        <f>IF(AND(E64=cr_late_date,cr_late_low&lt;cr_low,cr_no_answer=0),H64,NA())</f>
        <v>#N/A</v>
      </c>
      <c r="K64" s="71" t="e">
        <f>IF(E64=cr_last,F64,NA())</f>
        <v>#N/A</v>
      </c>
      <c r="L64" s="71" t="e">
        <f>IF(E64=cr_start+8,G64,NA())</f>
        <v>#N/A</v>
      </c>
      <c r="M64" s="71">
        <f>IF(F64&lt;cr_floor,1,0)</f>
        <v>0.0</v>
      </c>
      <c r="N64" s="71">
        <f>IF(H64&lt;cr_floor,1,0)</f>
        <v>0.0</v>
      </c>
      <c r="O64" s="71">
        <f>IF(F64&lt;0,1,0)</f>
        <v>0.0</v>
      </c>
    </row>
    <row r="65" spans="5:15" s="1" customFormat="1">
      <c r="E65" s="70">
        <f>'Forecast'!B66</f>
        <v>46387.0</v>
      </c>
      <c r="F65" s="71">
        <f>'Forecast'!F66</f>
        <v>11120.0</v>
      </c>
      <c r="G65" s="71">
        <f>cr_floor+0</f>
        <v>5000.0</v>
      </c>
      <c r="H65" s="71">
        <f>'Forecast'!H66</f>
        <v>11120.0</v>
      </c>
      <c r="I65" s="71" t="e">
        <f>IF(AND(E65=cr_low_date,cr_no_answer=0),F65,NA())</f>
        <v>#N/A</v>
      </c>
      <c r="J65" s="71" t="e">
        <f>IF(AND(E65=cr_late_date,cr_late_low&lt;cr_low,cr_no_answer=0),H65,NA())</f>
        <v>#N/A</v>
      </c>
      <c r="K65" s="71" t="e">
        <f>IF(E65=cr_last,F65,NA())</f>
        <v>#N/A</v>
      </c>
      <c r="L65" s="71" t="e">
        <f>IF(E65=cr_start+8,G65,NA())</f>
        <v>#N/A</v>
      </c>
      <c r="M65" s="71">
        <f>IF(F65&lt;cr_floor,1,0)</f>
        <v>0.0</v>
      </c>
      <c r="N65" s="71">
        <f>IF(H65&lt;cr_floor,1,0)</f>
        <v>0.0</v>
      </c>
      <c r="O65" s="71">
        <f>IF(F65&lt;0,1,0)</f>
        <v>0.0</v>
      </c>
    </row>
    <row r="66" spans="5:15" s="1" customFormat="1">
      <c r="E66" s="70">
        <f>'Forecast'!B67</f>
        <v>46388.0</v>
      </c>
      <c r="F66" s="71">
        <f>'Forecast'!F67</f>
        <v>6720.0</v>
      </c>
      <c r="G66" s="71">
        <f>cr_floor+0</f>
        <v>5000.0</v>
      </c>
      <c r="H66" s="71">
        <f>'Forecast'!H67</f>
        <v>6720.0</v>
      </c>
      <c r="I66" s="71" t="e">
        <f>IF(AND(E66=cr_low_date,cr_no_answer=0),F66,NA())</f>
        <v>#N/A</v>
      </c>
      <c r="J66" s="71" t="e">
        <f>IF(AND(E66=cr_late_date,cr_late_low&lt;cr_low,cr_no_answer=0),H66,NA())</f>
        <v>#N/A</v>
      </c>
      <c r="K66" s="71" t="e">
        <f>IF(E66=cr_last,F66,NA())</f>
        <v>#N/A</v>
      </c>
      <c r="L66" s="71" t="e">
        <f>IF(E66=cr_start+8,G66,NA())</f>
        <v>#N/A</v>
      </c>
      <c r="M66" s="71">
        <f>IF(F66&lt;cr_floor,1,0)</f>
        <v>0.0</v>
      </c>
      <c r="N66" s="71">
        <f>IF(H66&lt;cr_floor,1,0)</f>
        <v>0.0</v>
      </c>
      <c r="O66" s="71">
        <f>IF(F66&lt;0,1,0)</f>
        <v>0.0</v>
      </c>
    </row>
    <row r="67" spans="5:15" s="1" customFormat="1">
      <c r="E67" s="70">
        <f>'Forecast'!B68</f>
        <v>46389.0</v>
      </c>
      <c r="F67" s="71">
        <f>'Forecast'!F68</f>
        <v>6720.0</v>
      </c>
      <c r="G67" s="71">
        <f>cr_floor+0</f>
        <v>5000.0</v>
      </c>
      <c r="H67" s="71">
        <f>'Forecast'!H68</f>
        <v>6720.0</v>
      </c>
      <c r="I67" s="71" t="e">
        <f>IF(AND(E67=cr_low_date,cr_no_answer=0),F67,NA())</f>
        <v>#N/A</v>
      </c>
      <c r="J67" s="71" t="e">
        <f>IF(AND(E67=cr_late_date,cr_late_low&lt;cr_low,cr_no_answer=0),H67,NA())</f>
        <v>#N/A</v>
      </c>
      <c r="K67" s="71" t="e">
        <f>IF(E67=cr_last,F67,NA())</f>
        <v>#N/A</v>
      </c>
      <c r="L67" s="71" t="e">
        <f>IF(E67=cr_start+8,G67,NA())</f>
        <v>#N/A</v>
      </c>
      <c r="M67" s="71">
        <f>IF(F67&lt;cr_floor,1,0)</f>
        <v>0.0</v>
      </c>
      <c r="N67" s="71">
        <f>IF(H67&lt;cr_floor,1,0)</f>
        <v>0.0</v>
      </c>
      <c r="O67" s="71">
        <f>IF(F67&lt;0,1,0)</f>
        <v>0.0</v>
      </c>
    </row>
    <row r="68" spans="5:15" s="1" customFormat="1">
      <c r="E68" s="70">
        <f>'Forecast'!B69</f>
        <v>46390.0</v>
      </c>
      <c r="F68" s="71">
        <f>'Forecast'!F69</f>
        <v>6720.0</v>
      </c>
      <c r="G68" s="71">
        <f>cr_floor+0</f>
        <v>5000.0</v>
      </c>
      <c r="H68" s="71">
        <f>'Forecast'!H69</f>
        <v>6720.0</v>
      </c>
      <c r="I68" s="71" t="e">
        <f>IF(AND(E68=cr_low_date,cr_no_answer=0),F68,NA())</f>
        <v>#N/A</v>
      </c>
      <c r="J68" s="71" t="e">
        <f>IF(AND(E68=cr_late_date,cr_late_low&lt;cr_low,cr_no_answer=0),H68,NA())</f>
        <v>#N/A</v>
      </c>
      <c r="K68" s="71" t="e">
        <f>IF(E68=cr_last,F68,NA())</f>
        <v>#N/A</v>
      </c>
      <c r="L68" s="71" t="e">
        <f>IF(E68=cr_start+8,G68,NA())</f>
        <v>#N/A</v>
      </c>
      <c r="M68" s="71">
        <f>IF(F68&lt;cr_floor,1,0)</f>
        <v>0.0</v>
      </c>
      <c r="N68" s="71">
        <f>IF(H68&lt;cr_floor,1,0)</f>
        <v>0.0</v>
      </c>
      <c r="O68" s="71">
        <f>IF(F68&lt;0,1,0)</f>
        <v>0.0</v>
      </c>
    </row>
    <row r="69" spans="5:15" s="1" customFormat="1">
      <c r="E69" s="70">
        <f>'Forecast'!B70</f>
        <v>46391.0</v>
      </c>
      <c r="F69" s="71">
        <f>'Forecast'!F70</f>
        <v>6720.0</v>
      </c>
      <c r="G69" s="71">
        <f>cr_floor+0</f>
        <v>5000.0</v>
      </c>
      <c r="H69" s="71">
        <f>'Forecast'!H70</f>
        <v>6720.0</v>
      </c>
      <c r="I69" s="71" t="e">
        <f>IF(AND(E69=cr_low_date,cr_no_answer=0),F69,NA())</f>
        <v>#N/A</v>
      </c>
      <c r="J69" s="71" t="e">
        <f>IF(AND(E69=cr_late_date,cr_late_low&lt;cr_low,cr_no_answer=0),H69,NA())</f>
        <v>#N/A</v>
      </c>
      <c r="K69" s="71" t="e">
        <f>IF(E69=cr_last,F69,NA())</f>
        <v>#N/A</v>
      </c>
      <c r="L69" s="71" t="e">
        <f>IF(E69=cr_start+8,G69,NA())</f>
        <v>#N/A</v>
      </c>
      <c r="M69" s="71">
        <f>IF(F69&lt;cr_floor,1,0)</f>
        <v>0.0</v>
      </c>
      <c r="N69" s="71">
        <f>IF(H69&lt;cr_floor,1,0)</f>
        <v>0.0</v>
      </c>
      <c r="O69" s="71">
        <f>IF(F69&lt;0,1,0)</f>
        <v>0.0</v>
      </c>
    </row>
    <row r="70" spans="5:15" s="1" customFormat="1">
      <c r="E70" s="70">
        <f>'Forecast'!B71</f>
        <v>46392.0</v>
      </c>
      <c r="F70" s="71">
        <f>'Forecast'!F71</f>
        <v>6720.0</v>
      </c>
      <c r="G70" s="71">
        <f>cr_floor+0</f>
        <v>5000.0</v>
      </c>
      <c r="H70" s="71">
        <f>'Forecast'!H71</f>
        <v>6720.0</v>
      </c>
      <c r="I70" s="71" t="e">
        <f>IF(AND(E70=cr_low_date,cr_no_answer=0),F70,NA())</f>
        <v>#N/A</v>
      </c>
      <c r="J70" s="71" t="e">
        <f>IF(AND(E70=cr_late_date,cr_late_low&lt;cr_low,cr_no_answer=0),H70,NA())</f>
        <v>#N/A</v>
      </c>
      <c r="K70" s="71" t="e">
        <f>IF(E70=cr_last,F70,NA())</f>
        <v>#N/A</v>
      </c>
      <c r="L70" s="71" t="e">
        <f>IF(E70=cr_start+8,G70,NA())</f>
        <v>#N/A</v>
      </c>
      <c r="M70" s="71">
        <f>IF(F70&lt;cr_floor,1,0)</f>
        <v>0.0</v>
      </c>
      <c r="N70" s="71">
        <f>IF(H70&lt;cr_floor,1,0)</f>
        <v>0.0</v>
      </c>
      <c r="O70" s="71">
        <f>IF(F70&lt;0,1,0)</f>
        <v>0.0</v>
      </c>
    </row>
    <row r="71" spans="5:15" s="1" customFormat="1">
      <c r="E71" s="70">
        <f>'Forecast'!B72</f>
        <v>46393.0</v>
      </c>
      <c r="F71" s="71">
        <f>'Forecast'!F72</f>
        <v>6720.0</v>
      </c>
      <c r="G71" s="71">
        <f>cr_floor+0</f>
        <v>5000.0</v>
      </c>
      <c r="H71" s="71">
        <f>'Forecast'!H72</f>
        <v>6720.0</v>
      </c>
      <c r="I71" s="71" t="e">
        <f>IF(AND(E71=cr_low_date,cr_no_answer=0),F71,NA())</f>
        <v>#N/A</v>
      </c>
      <c r="J71" s="71" t="e">
        <f>IF(AND(E71=cr_late_date,cr_late_low&lt;cr_low,cr_no_answer=0),H71,NA())</f>
        <v>#N/A</v>
      </c>
      <c r="K71" s="71" t="e">
        <f>IF(E71=cr_last,F71,NA())</f>
        <v>#N/A</v>
      </c>
      <c r="L71" s="71" t="e">
        <f>IF(E71=cr_start+8,G71,NA())</f>
        <v>#N/A</v>
      </c>
      <c r="M71" s="71">
        <f>IF(F71&lt;cr_floor,1,0)</f>
        <v>0.0</v>
      </c>
      <c r="N71" s="71">
        <f>IF(H71&lt;cr_floor,1,0)</f>
        <v>0.0</v>
      </c>
      <c r="O71" s="71">
        <f>IF(F71&lt;0,1,0)</f>
        <v>0.0</v>
      </c>
    </row>
    <row r="72" spans="5:15" s="1" customFormat="1">
      <c r="E72" s="70">
        <f>'Forecast'!B73</f>
        <v>46394.0</v>
      </c>
      <c r="F72" s="71">
        <f>'Forecast'!F73</f>
        <v>6720.0</v>
      </c>
      <c r="G72" s="71">
        <f>cr_floor+0</f>
        <v>5000.0</v>
      </c>
      <c r="H72" s="71">
        <f>'Forecast'!H73</f>
        <v>6720.0</v>
      </c>
      <c r="I72" s="71" t="e">
        <f>IF(AND(E72=cr_low_date,cr_no_answer=0),F72,NA())</f>
        <v>#N/A</v>
      </c>
      <c r="J72" s="71" t="e">
        <f>IF(AND(E72=cr_late_date,cr_late_low&lt;cr_low,cr_no_answer=0),H72,NA())</f>
        <v>#N/A</v>
      </c>
      <c r="K72" s="71" t="e">
        <f>IF(E72=cr_last,F72,NA())</f>
        <v>#N/A</v>
      </c>
      <c r="L72" s="71" t="e">
        <f>IF(E72=cr_start+8,G72,NA())</f>
        <v>#N/A</v>
      </c>
      <c r="M72" s="71">
        <f>IF(F72&lt;cr_floor,1,0)</f>
        <v>0.0</v>
      </c>
      <c r="N72" s="71">
        <f>IF(H72&lt;cr_floor,1,0)</f>
        <v>0.0</v>
      </c>
      <c r="O72" s="71">
        <f>IF(F72&lt;0,1,0)</f>
        <v>0.0</v>
      </c>
    </row>
    <row r="73" spans="5:15" s="1" customFormat="1">
      <c r="E73" s="70">
        <f>'Forecast'!B74</f>
        <v>46395.0</v>
      </c>
      <c r="F73" s="71">
        <f>'Forecast'!F74</f>
        <v>9320.0</v>
      </c>
      <c r="G73" s="71">
        <f>cr_floor+0</f>
        <v>5000.0</v>
      </c>
      <c r="H73" s="71">
        <f>'Forecast'!H74</f>
        <v>9320.0</v>
      </c>
      <c r="I73" s="71" t="e">
        <f>IF(AND(E73=cr_low_date,cr_no_answer=0),F73,NA())</f>
        <v>#N/A</v>
      </c>
      <c r="J73" s="71" t="e">
        <f>IF(AND(E73=cr_late_date,cr_late_low&lt;cr_low,cr_no_answer=0),H73,NA())</f>
        <v>#N/A</v>
      </c>
      <c r="K73" s="71" t="e">
        <f>IF(E73=cr_last,F73,NA())</f>
        <v>#N/A</v>
      </c>
      <c r="L73" s="71" t="e">
        <f>IF(E73=cr_start+8,G73,NA())</f>
        <v>#N/A</v>
      </c>
      <c r="M73" s="71">
        <f>IF(F73&lt;cr_floor,1,0)</f>
        <v>0.0</v>
      </c>
      <c r="N73" s="71">
        <f>IF(H73&lt;cr_floor,1,0)</f>
        <v>0.0</v>
      </c>
      <c r="O73" s="71">
        <f>IF(F73&lt;0,1,0)</f>
        <v>0.0</v>
      </c>
    </row>
    <row r="74" spans="5:15" s="1" customFormat="1">
      <c r="E74" s="70">
        <f>'Forecast'!B75</f>
        <v>46396.0</v>
      </c>
      <c r="F74" s="71">
        <f>'Forecast'!F75</f>
        <v>9130.0</v>
      </c>
      <c r="G74" s="71">
        <f>cr_floor+0</f>
        <v>5000.0</v>
      </c>
      <c r="H74" s="71">
        <f>'Forecast'!H75</f>
        <v>9130.0</v>
      </c>
      <c r="I74" s="71" t="e">
        <f>IF(AND(E74=cr_low_date,cr_no_answer=0),F74,NA())</f>
        <v>#N/A</v>
      </c>
      <c r="J74" s="71" t="e">
        <f>IF(AND(E74=cr_late_date,cr_late_low&lt;cr_low,cr_no_answer=0),H74,NA())</f>
        <v>#N/A</v>
      </c>
      <c r="K74" s="71" t="e">
        <f>IF(E74=cr_last,F74,NA())</f>
        <v>#N/A</v>
      </c>
      <c r="L74" s="71" t="e">
        <f>IF(E74=cr_start+8,G74,NA())</f>
        <v>#N/A</v>
      </c>
      <c r="M74" s="71">
        <f>IF(F74&lt;cr_floor,1,0)</f>
        <v>0.0</v>
      </c>
      <c r="N74" s="71">
        <f>IF(H74&lt;cr_floor,1,0)</f>
        <v>0.0</v>
      </c>
      <c r="O74" s="71">
        <f>IF(F74&lt;0,1,0)</f>
        <v>0.0</v>
      </c>
    </row>
    <row r="75" spans="5:15" s="1" customFormat="1">
      <c r="E75" s="70">
        <f>'Forecast'!B76</f>
        <v>46397.0</v>
      </c>
      <c r="F75" s="71">
        <f>'Forecast'!F76</f>
        <v>9130.0</v>
      </c>
      <c r="G75" s="71">
        <f>cr_floor+0</f>
        <v>5000.0</v>
      </c>
      <c r="H75" s="71">
        <f>'Forecast'!H76</f>
        <v>9130.0</v>
      </c>
      <c r="I75" s="71" t="e">
        <f>IF(AND(E75=cr_low_date,cr_no_answer=0),F75,NA())</f>
        <v>#N/A</v>
      </c>
      <c r="J75" s="71" t="e">
        <f>IF(AND(E75=cr_late_date,cr_late_low&lt;cr_low,cr_no_answer=0),H75,NA())</f>
        <v>#N/A</v>
      </c>
      <c r="K75" s="71" t="e">
        <f>IF(E75=cr_last,F75,NA())</f>
        <v>#N/A</v>
      </c>
      <c r="L75" s="71" t="e">
        <f>IF(E75=cr_start+8,G75,NA())</f>
        <v>#N/A</v>
      </c>
      <c r="M75" s="71">
        <f>IF(F75&lt;cr_floor,1,0)</f>
        <v>0.0</v>
      </c>
      <c r="N75" s="71">
        <f>IF(H75&lt;cr_floor,1,0)</f>
        <v>0.0</v>
      </c>
      <c r="O75" s="71">
        <f>IF(F75&lt;0,1,0)</f>
        <v>0.0</v>
      </c>
    </row>
    <row r="76" spans="5:15" s="1" customFormat="1">
      <c r="E76" s="70">
        <f>'Forecast'!B77</f>
        <v>46398.0</v>
      </c>
      <c r="F76" s="71">
        <f>'Forecast'!F77</f>
        <v>9130.0</v>
      </c>
      <c r="G76" s="71">
        <f>cr_floor+0</f>
        <v>5000.0</v>
      </c>
      <c r="H76" s="71">
        <f>'Forecast'!H77</f>
        <v>9130.0</v>
      </c>
      <c r="I76" s="71" t="e">
        <f>IF(AND(E76=cr_low_date,cr_no_answer=0),F76,NA())</f>
        <v>#N/A</v>
      </c>
      <c r="J76" s="71" t="e">
        <f>IF(AND(E76=cr_late_date,cr_late_low&lt;cr_low,cr_no_answer=0),H76,NA())</f>
        <v>#N/A</v>
      </c>
      <c r="K76" s="71" t="e">
        <f>IF(E76=cr_last,F76,NA())</f>
        <v>#N/A</v>
      </c>
      <c r="L76" s="71" t="e">
        <f>IF(E76=cr_start+8,G76,NA())</f>
        <v>#N/A</v>
      </c>
      <c r="M76" s="71">
        <f>IF(F76&lt;cr_floor,1,0)</f>
        <v>0.0</v>
      </c>
      <c r="N76" s="71">
        <f>IF(H76&lt;cr_floor,1,0)</f>
        <v>0.0</v>
      </c>
      <c r="O76" s="71">
        <f>IF(F76&lt;0,1,0)</f>
        <v>0.0</v>
      </c>
    </row>
    <row r="77" spans="5:15" s="1" customFormat="1">
      <c r="E77" s="70">
        <f>'Forecast'!B78</f>
        <v>46399.0</v>
      </c>
      <c r="F77" s="71">
        <f>'Forecast'!F78</f>
        <v>9130.0</v>
      </c>
      <c r="G77" s="71">
        <f>cr_floor+0</f>
        <v>5000.0</v>
      </c>
      <c r="H77" s="71">
        <f>'Forecast'!H78</f>
        <v>9130.0</v>
      </c>
      <c r="I77" s="71" t="e">
        <f>IF(AND(E77=cr_low_date,cr_no_answer=0),F77,NA())</f>
        <v>#N/A</v>
      </c>
      <c r="J77" s="71" t="e">
        <f>IF(AND(E77=cr_late_date,cr_late_low&lt;cr_low,cr_no_answer=0),H77,NA())</f>
        <v>#N/A</v>
      </c>
      <c r="K77" s="71" t="e">
        <f>IF(E77=cr_last,F77,NA())</f>
        <v>#N/A</v>
      </c>
      <c r="L77" s="71" t="e">
        <f>IF(E77=cr_start+8,G77,NA())</f>
        <v>#N/A</v>
      </c>
      <c r="M77" s="71">
        <f>IF(F77&lt;cr_floor,1,0)</f>
        <v>0.0</v>
      </c>
      <c r="N77" s="71">
        <f>IF(H77&lt;cr_floor,1,0)</f>
        <v>0.0</v>
      </c>
      <c r="O77" s="71">
        <f>IF(F77&lt;0,1,0)</f>
        <v>0.0</v>
      </c>
    </row>
    <row r="78" spans="5:15" s="1" customFormat="1">
      <c r="E78" s="70">
        <f>'Forecast'!B79</f>
        <v>46400.0</v>
      </c>
      <c r="F78" s="71">
        <f>'Forecast'!F79</f>
        <v>9130.0</v>
      </c>
      <c r="G78" s="71">
        <f>cr_floor+0</f>
        <v>5000.0</v>
      </c>
      <c r="H78" s="71">
        <f>'Forecast'!H79</f>
        <v>9130.0</v>
      </c>
      <c r="I78" s="71" t="e">
        <f>IF(AND(E78=cr_low_date,cr_no_answer=0),F78,NA())</f>
        <v>#N/A</v>
      </c>
      <c r="J78" s="71" t="e">
        <f>IF(AND(E78=cr_late_date,cr_late_low&lt;cr_low,cr_no_answer=0),H78,NA())</f>
        <v>#N/A</v>
      </c>
      <c r="K78" s="71" t="e">
        <f>IF(E78=cr_last,F78,NA())</f>
        <v>#N/A</v>
      </c>
      <c r="L78" s="71" t="e">
        <f>IF(E78=cr_start+8,G78,NA())</f>
        <v>#N/A</v>
      </c>
      <c r="M78" s="71">
        <f>IF(F78&lt;cr_floor,1,0)</f>
        <v>0.0</v>
      </c>
      <c r="N78" s="71">
        <f>IF(H78&lt;cr_floor,1,0)</f>
        <v>0.0</v>
      </c>
      <c r="O78" s="71">
        <f>IF(F78&lt;0,1,0)</f>
        <v>0.0</v>
      </c>
    </row>
    <row r="79" spans="5:15" s="1" customFormat="1">
      <c r="E79" s="70">
        <f>'Forecast'!B80</f>
        <v>46401.0</v>
      </c>
      <c r="F79" s="71">
        <f>'Forecast'!F80</f>
        <v>9130.0</v>
      </c>
      <c r="G79" s="71">
        <f>cr_floor+0</f>
        <v>5000.0</v>
      </c>
      <c r="H79" s="71">
        <f>'Forecast'!H80</f>
        <v>9130.0</v>
      </c>
      <c r="I79" s="71" t="e">
        <f>IF(AND(E79=cr_low_date,cr_no_answer=0),F79,NA())</f>
        <v>#N/A</v>
      </c>
      <c r="J79" s="71" t="e">
        <f>IF(AND(E79=cr_late_date,cr_late_low&lt;cr_low,cr_no_answer=0),H79,NA())</f>
        <v>#N/A</v>
      </c>
      <c r="K79" s="71" t="e">
        <f>IF(E79=cr_last,F79,NA())</f>
        <v>#N/A</v>
      </c>
      <c r="L79" s="71" t="e">
        <f>IF(E79=cr_start+8,G79,NA())</f>
        <v>#N/A</v>
      </c>
      <c r="M79" s="71">
        <f>IF(F79&lt;cr_floor,1,0)</f>
        <v>0.0</v>
      </c>
      <c r="N79" s="71">
        <f>IF(H79&lt;cr_floor,1,0)</f>
        <v>0.0</v>
      </c>
      <c r="O79" s="71">
        <f>IF(F79&lt;0,1,0)</f>
        <v>0.0</v>
      </c>
    </row>
    <row r="80" spans="5:15" s="1" customFormat="1">
      <c r="E80" s="70">
        <f>'Forecast'!B81</f>
        <v>46402.0</v>
      </c>
      <c r="F80" s="71">
        <f>'Forecast'!F81</f>
        <v>6480.0</v>
      </c>
      <c r="G80" s="71">
        <f>cr_floor+0</f>
        <v>5000.0</v>
      </c>
      <c r="H80" s="71">
        <f>'Forecast'!H81</f>
        <v>6480.0</v>
      </c>
      <c r="I80" s="71">
        <f>IF(AND(E80=cr_low_date,cr_no_answer=0),F80,NA())</f>
        <v>6480.0</v>
      </c>
      <c r="J80" s="71" t="e">
        <f>IF(AND(E80=cr_late_date,cr_late_low&lt;cr_low,cr_no_answer=0),H80,NA())</f>
        <v>#N/A</v>
      </c>
      <c r="K80" s="71" t="e">
        <f>IF(E80=cr_last,F80,NA())</f>
        <v>#N/A</v>
      </c>
      <c r="L80" s="71" t="e">
        <f>IF(E80=cr_start+8,G80,NA())</f>
        <v>#N/A</v>
      </c>
      <c r="M80" s="71">
        <f>IF(F80&lt;cr_floor,1,0)</f>
        <v>0.0</v>
      </c>
      <c r="N80" s="71">
        <f>IF(H80&lt;cr_floor,1,0)</f>
        <v>0.0</v>
      </c>
      <c r="O80" s="71">
        <f>IF(F80&lt;0,1,0)</f>
        <v>0.0</v>
      </c>
    </row>
    <row r="81" spans="5:15" s="1" customFormat="1">
      <c r="E81" s="70">
        <f>'Forecast'!B82</f>
        <v>46403.0</v>
      </c>
      <c r="F81" s="71">
        <f>'Forecast'!F82</f>
        <v>6480.0</v>
      </c>
      <c r="G81" s="71">
        <f>cr_floor+0</f>
        <v>5000.0</v>
      </c>
      <c r="H81" s="71">
        <f>'Forecast'!H82</f>
        <v>6480.0</v>
      </c>
      <c r="I81" s="71" t="e">
        <f>IF(AND(E81=cr_low_date,cr_no_answer=0),F81,NA())</f>
        <v>#N/A</v>
      </c>
      <c r="J81" s="71" t="e">
        <f>IF(AND(E81=cr_late_date,cr_late_low&lt;cr_low,cr_no_answer=0),H81,NA())</f>
        <v>#N/A</v>
      </c>
      <c r="K81" s="71" t="e">
        <f>IF(E81=cr_last,F81,NA())</f>
        <v>#N/A</v>
      </c>
      <c r="L81" s="71" t="e">
        <f>IF(E81=cr_start+8,G81,NA())</f>
        <v>#N/A</v>
      </c>
      <c r="M81" s="71">
        <f>IF(F81&lt;cr_floor,1,0)</f>
        <v>0.0</v>
      </c>
      <c r="N81" s="71">
        <f>IF(H81&lt;cr_floor,1,0)</f>
        <v>0.0</v>
      </c>
      <c r="O81" s="71">
        <f>IF(F81&lt;0,1,0)</f>
        <v>0.0</v>
      </c>
    </row>
    <row r="82" spans="5:15" s="1" customFormat="1">
      <c r="E82" s="70">
        <f>'Forecast'!B83</f>
        <v>46404.0</v>
      </c>
      <c r="F82" s="71">
        <f>'Forecast'!F83</f>
        <v>6480.0</v>
      </c>
      <c r="G82" s="71">
        <f>cr_floor+0</f>
        <v>5000.0</v>
      </c>
      <c r="H82" s="71">
        <f>'Forecast'!H83</f>
        <v>6480.0</v>
      </c>
      <c r="I82" s="71" t="e">
        <f>IF(AND(E82=cr_low_date,cr_no_answer=0),F82,NA())</f>
        <v>#N/A</v>
      </c>
      <c r="J82" s="71" t="e">
        <f>IF(AND(E82=cr_late_date,cr_late_low&lt;cr_low,cr_no_answer=0),H82,NA())</f>
        <v>#N/A</v>
      </c>
      <c r="K82" s="71" t="e">
        <f>IF(E82=cr_last,F82,NA())</f>
        <v>#N/A</v>
      </c>
      <c r="L82" s="71" t="e">
        <f>IF(E82=cr_start+8,G82,NA())</f>
        <v>#N/A</v>
      </c>
      <c r="M82" s="71">
        <f>IF(F82&lt;cr_floor,1,0)</f>
        <v>0.0</v>
      </c>
      <c r="N82" s="71">
        <f>IF(H82&lt;cr_floor,1,0)</f>
        <v>0.0</v>
      </c>
      <c r="O82" s="71">
        <f>IF(F82&lt;0,1,0)</f>
        <v>0.0</v>
      </c>
    </row>
    <row r="83" spans="5:15" s="1" customFormat="1">
      <c r="E83" s="70">
        <f>'Forecast'!B84</f>
        <v>46405.0</v>
      </c>
      <c r="F83" s="71">
        <f>'Forecast'!F84</f>
        <v>10680.0</v>
      </c>
      <c r="G83" s="71">
        <f>cr_floor+0</f>
        <v>5000.0</v>
      </c>
      <c r="H83" s="71">
        <f>'Forecast'!H84</f>
        <v>10680.0</v>
      </c>
      <c r="I83" s="71" t="e">
        <f>IF(AND(E83=cr_low_date,cr_no_answer=0),F83,NA())</f>
        <v>#N/A</v>
      </c>
      <c r="J83" s="71" t="e">
        <f>IF(AND(E83=cr_late_date,cr_late_low&lt;cr_low,cr_no_answer=0),H83,NA())</f>
        <v>#N/A</v>
      </c>
      <c r="K83" s="71" t="e">
        <f>IF(E83=cr_last,F83,NA())</f>
        <v>#N/A</v>
      </c>
      <c r="L83" s="71" t="e">
        <f>IF(E83=cr_start+8,G83,NA())</f>
        <v>#N/A</v>
      </c>
      <c r="M83" s="71">
        <f>IF(F83&lt;cr_floor,1,0)</f>
        <v>0.0</v>
      </c>
      <c r="N83" s="71">
        <f>IF(H83&lt;cr_floor,1,0)</f>
        <v>0.0</v>
      </c>
      <c r="O83" s="71">
        <f>IF(F83&lt;0,1,0)</f>
        <v>0.0</v>
      </c>
    </row>
    <row r="84" spans="5:15" s="1" customFormat="1">
      <c r="E84" s="70">
        <f>'Forecast'!B85</f>
        <v>46406.0</v>
      </c>
      <c r="F84" s="71">
        <f>'Forecast'!F85</f>
        <v>10680.0</v>
      </c>
      <c r="G84" s="71">
        <f>cr_floor+0</f>
        <v>5000.0</v>
      </c>
      <c r="H84" s="71">
        <f>'Forecast'!H85</f>
        <v>10680.0</v>
      </c>
      <c r="I84" s="71" t="e">
        <f>IF(AND(E84=cr_low_date,cr_no_answer=0),F84,NA())</f>
        <v>#N/A</v>
      </c>
      <c r="J84" s="71" t="e">
        <f>IF(AND(E84=cr_late_date,cr_late_low&lt;cr_low,cr_no_answer=0),H84,NA())</f>
        <v>#N/A</v>
      </c>
      <c r="K84" s="71" t="e">
        <f>IF(E84=cr_last,F84,NA())</f>
        <v>#N/A</v>
      </c>
      <c r="L84" s="71" t="e">
        <f>IF(E84=cr_start+8,G84,NA())</f>
        <v>#N/A</v>
      </c>
      <c r="M84" s="71">
        <f>IF(F84&lt;cr_floor,1,0)</f>
        <v>0.0</v>
      </c>
      <c r="N84" s="71">
        <f>IF(H84&lt;cr_floor,1,0)</f>
        <v>0.0</v>
      </c>
      <c r="O84" s="71">
        <f>IF(F84&lt;0,1,0)</f>
        <v>0.0</v>
      </c>
    </row>
    <row r="85" spans="5:15" s="1" customFormat="1">
      <c r="E85" s="70">
        <f>'Forecast'!B86</f>
        <v>46407.0</v>
      </c>
      <c r="F85" s="71">
        <f>'Forecast'!F86</f>
        <v>10680.0</v>
      </c>
      <c r="G85" s="71">
        <f>cr_floor+0</f>
        <v>5000.0</v>
      </c>
      <c r="H85" s="71">
        <f>'Forecast'!H86</f>
        <v>10680.0</v>
      </c>
      <c r="I85" s="71" t="e">
        <f>IF(AND(E85=cr_low_date,cr_no_answer=0),F85,NA())</f>
        <v>#N/A</v>
      </c>
      <c r="J85" s="71" t="e">
        <f>IF(AND(E85=cr_late_date,cr_late_low&lt;cr_low,cr_no_answer=0),H85,NA())</f>
        <v>#N/A</v>
      </c>
      <c r="K85" s="71" t="e">
        <f>IF(E85=cr_last,F85,NA())</f>
        <v>#N/A</v>
      </c>
      <c r="L85" s="71" t="e">
        <f>IF(E85=cr_start+8,G85,NA())</f>
        <v>#N/A</v>
      </c>
      <c r="M85" s="71">
        <f>IF(F85&lt;cr_floor,1,0)</f>
        <v>0.0</v>
      </c>
      <c r="N85" s="71">
        <f>IF(H85&lt;cr_floor,1,0)</f>
        <v>0.0</v>
      </c>
      <c r="O85" s="71">
        <f>IF(F85&lt;0,1,0)</f>
        <v>0.0</v>
      </c>
    </row>
    <row r="86" spans="5:15" s="1" customFormat="1">
      <c r="E86" s="70">
        <f>'Forecast'!B87</f>
        <v>46408.0</v>
      </c>
      <c r="F86" s="71">
        <f>'Forecast'!F87</f>
        <v>10680.0</v>
      </c>
      <c r="G86" s="71">
        <f>cr_floor+0</f>
        <v>5000.0</v>
      </c>
      <c r="H86" s="71">
        <f>'Forecast'!H87</f>
        <v>10680.0</v>
      </c>
      <c r="I86" s="71" t="e">
        <f>IF(AND(E86=cr_low_date,cr_no_answer=0),F86,NA())</f>
        <v>#N/A</v>
      </c>
      <c r="J86" s="71" t="e">
        <f>IF(AND(E86=cr_late_date,cr_late_low&lt;cr_low,cr_no_answer=0),H86,NA())</f>
        <v>#N/A</v>
      </c>
      <c r="K86" s="71" t="e">
        <f>IF(E86=cr_last,F86,NA())</f>
        <v>#N/A</v>
      </c>
      <c r="L86" s="71" t="e">
        <f>IF(E86=cr_start+8,G86,NA())</f>
        <v>#N/A</v>
      </c>
      <c r="M86" s="71">
        <f>IF(F86&lt;cr_floor,1,0)</f>
        <v>0.0</v>
      </c>
      <c r="N86" s="71">
        <f>IF(H86&lt;cr_floor,1,0)</f>
        <v>0.0</v>
      </c>
      <c r="O86" s="71">
        <f>IF(F86&lt;0,1,0)</f>
        <v>0.0</v>
      </c>
    </row>
    <row r="87" spans="5:15" s="1" customFormat="1">
      <c r="E87" s="70">
        <f>'Forecast'!B88</f>
        <v>46409.0</v>
      </c>
      <c r="F87" s="71">
        <f>'Forecast'!F88</f>
        <v>13280.0</v>
      </c>
      <c r="G87" s="71">
        <f>cr_floor+0</f>
        <v>5000.0</v>
      </c>
      <c r="H87" s="71">
        <f>'Forecast'!H88</f>
        <v>13280.0</v>
      </c>
      <c r="I87" s="71" t="e">
        <f>IF(AND(E87=cr_low_date,cr_no_answer=0),F87,NA())</f>
        <v>#N/A</v>
      </c>
      <c r="J87" s="71" t="e">
        <f>IF(AND(E87=cr_late_date,cr_late_low&lt;cr_low,cr_no_answer=0),H87,NA())</f>
        <v>#N/A</v>
      </c>
      <c r="K87" s="71" t="e">
        <f>IF(E87=cr_last,F87,NA())</f>
        <v>#N/A</v>
      </c>
      <c r="L87" s="71" t="e">
        <f>IF(E87=cr_start+8,G87,NA())</f>
        <v>#N/A</v>
      </c>
      <c r="M87" s="71">
        <f>IF(F87&lt;cr_floor,1,0)</f>
        <v>0.0</v>
      </c>
      <c r="N87" s="71">
        <f>IF(H87&lt;cr_floor,1,0)</f>
        <v>0.0</v>
      </c>
      <c r="O87" s="71">
        <f>IF(F87&lt;0,1,0)</f>
        <v>0.0</v>
      </c>
    </row>
    <row r="88" spans="5:15" s="1" customFormat="1">
      <c r="E88" s="70">
        <f>'Forecast'!B89</f>
        <v>46410.0</v>
      </c>
      <c r="F88" s="71">
        <f>'Forecast'!F89</f>
        <v>13280.0</v>
      </c>
      <c r="G88" s="71">
        <f>cr_floor+0</f>
        <v>5000.0</v>
      </c>
      <c r="H88" s="71">
        <f>'Forecast'!H89</f>
        <v>13280.0</v>
      </c>
      <c r="I88" s="71" t="e">
        <f>IF(AND(E88=cr_low_date,cr_no_answer=0),F88,NA())</f>
        <v>#N/A</v>
      </c>
      <c r="J88" s="71" t="e">
        <f>IF(AND(E88=cr_late_date,cr_late_low&lt;cr_low,cr_no_answer=0),H88,NA())</f>
        <v>#N/A</v>
      </c>
      <c r="K88" s="71" t="e">
        <f>IF(E88=cr_last,F88,NA())</f>
        <v>#N/A</v>
      </c>
      <c r="L88" s="71" t="e">
        <f>IF(E88=cr_start+8,G88,NA())</f>
        <v>#N/A</v>
      </c>
      <c r="M88" s="71">
        <f>IF(F88&lt;cr_floor,1,0)</f>
        <v>0.0</v>
      </c>
      <c r="N88" s="71">
        <f>IF(H88&lt;cr_floor,1,0)</f>
        <v>0.0</v>
      </c>
      <c r="O88" s="71">
        <f>IF(F88&lt;0,1,0)</f>
        <v>0.0</v>
      </c>
    </row>
    <row r="89" spans="5:15" s="1" customFormat="1">
      <c r="E89" s="70">
        <f>'Forecast'!B90</f>
        <v>46411.0</v>
      </c>
      <c r="F89" s="71">
        <f>'Forecast'!F90</f>
        <v>13280.0</v>
      </c>
      <c r="G89" s="71">
        <f>cr_floor+0</f>
        <v>5000.0</v>
      </c>
      <c r="H89" s="71">
        <f>'Forecast'!H90</f>
        <v>13280.0</v>
      </c>
      <c r="I89" s="71" t="e">
        <f>IF(AND(E89=cr_low_date,cr_no_answer=0),F89,NA())</f>
        <v>#N/A</v>
      </c>
      <c r="J89" s="71" t="e">
        <f>IF(AND(E89=cr_late_date,cr_late_low&lt;cr_low,cr_no_answer=0),H89,NA())</f>
        <v>#N/A</v>
      </c>
      <c r="K89" s="71" t="e">
        <f>IF(E89=cr_last,F89,NA())</f>
        <v>#N/A</v>
      </c>
      <c r="L89" s="71" t="e">
        <f>IF(E89=cr_start+8,G89,NA())</f>
        <v>#N/A</v>
      </c>
      <c r="M89" s="71">
        <f>IF(F89&lt;cr_floor,1,0)</f>
        <v>0.0</v>
      </c>
      <c r="N89" s="71">
        <f>IF(H89&lt;cr_floor,1,0)</f>
        <v>0.0</v>
      </c>
      <c r="O89" s="71">
        <f>IF(F89&lt;0,1,0)</f>
        <v>0.0</v>
      </c>
    </row>
    <row r="90" spans="5:15" s="1" customFormat="1">
      <c r="E90" s="70">
        <f>'Forecast'!B91</f>
        <v>46412.0</v>
      </c>
      <c r="F90" s="71">
        <f>'Forecast'!F91</f>
        <v>13280.0</v>
      </c>
      <c r="G90" s="71">
        <f>cr_floor+0</f>
        <v>5000.0</v>
      </c>
      <c r="H90" s="71">
        <f>'Forecast'!H91</f>
        <v>13280.0</v>
      </c>
      <c r="I90" s="71" t="e">
        <f>IF(AND(E90=cr_low_date,cr_no_answer=0),F90,NA())</f>
        <v>#N/A</v>
      </c>
      <c r="J90" s="71" t="e">
        <f>IF(AND(E90=cr_late_date,cr_late_low&lt;cr_low,cr_no_answer=0),H90,NA())</f>
        <v>#N/A</v>
      </c>
      <c r="K90" s="71" t="e">
        <f>IF(E90=cr_last,F90,NA())</f>
        <v>#N/A</v>
      </c>
      <c r="L90" s="71" t="e">
        <f>IF(E90=cr_start+8,G90,NA())</f>
        <v>#N/A</v>
      </c>
      <c r="M90" s="71">
        <f>IF(F90&lt;cr_floor,1,0)</f>
        <v>0.0</v>
      </c>
      <c r="N90" s="71">
        <f>IF(H90&lt;cr_floor,1,0)</f>
        <v>0.0</v>
      </c>
      <c r="O90" s="71">
        <f>IF(F90&lt;0,1,0)</f>
        <v>0.0</v>
      </c>
    </row>
    <row r="91" spans="5:15" s="1" customFormat="1">
      <c r="E91" s="70">
        <f>'Forecast'!B92</f>
        <v>46413.0</v>
      </c>
      <c r="F91" s="71">
        <f>'Forecast'!F92</f>
        <v>13280.0</v>
      </c>
      <c r="G91" s="71">
        <f>cr_floor+0</f>
        <v>5000.0</v>
      </c>
      <c r="H91" s="71">
        <f>'Forecast'!H92</f>
        <v>13280.0</v>
      </c>
      <c r="I91" s="71" t="e">
        <f>IF(AND(E91=cr_low_date,cr_no_answer=0),F91,NA())</f>
        <v>#N/A</v>
      </c>
      <c r="J91" s="71" t="e">
        <f>IF(AND(E91=cr_late_date,cr_late_low&lt;cr_low,cr_no_answer=0),H91,NA())</f>
        <v>#N/A</v>
      </c>
      <c r="K91" s="71" t="e">
        <f>IF(E91=cr_last,F91,NA())</f>
        <v>#N/A</v>
      </c>
      <c r="L91" s="71" t="e">
        <f>IF(E91=cr_start+8,G91,NA())</f>
        <v>#N/A</v>
      </c>
      <c r="M91" s="71">
        <f>IF(F91&lt;cr_floor,1,0)</f>
        <v>0.0</v>
      </c>
      <c r="N91" s="71">
        <f>IF(H91&lt;cr_floor,1,0)</f>
        <v>0.0</v>
      </c>
      <c r="O91" s="71">
        <f>IF(F91&lt;0,1,0)</f>
        <v>0.0</v>
      </c>
    </row>
    <row r="92" spans="5:15" s="1" customFormat="1">
      <c r="E92" s="70">
        <f>'Forecast'!B93</f>
        <v>46414.0</v>
      </c>
      <c r="F92" s="71">
        <f>'Forecast'!F93</f>
        <v>13280.0</v>
      </c>
      <c r="G92" s="71">
        <f>cr_floor+0</f>
        <v>5000.0</v>
      </c>
      <c r="H92" s="71">
        <f>'Forecast'!H93</f>
        <v>13280.0</v>
      </c>
      <c r="I92" s="71" t="e">
        <f>IF(AND(E92=cr_low_date,cr_no_answer=0),F92,NA())</f>
        <v>#N/A</v>
      </c>
      <c r="J92" s="71" t="e">
        <f>IF(AND(E92=cr_late_date,cr_late_low&lt;cr_low,cr_no_answer=0),H92,NA())</f>
        <v>#N/A</v>
      </c>
      <c r="K92" s="71" t="e">
        <f>IF(E92=cr_last,F92,NA())</f>
        <v>#N/A</v>
      </c>
      <c r="L92" s="71" t="e">
        <f>IF(E92=cr_start+8,G92,NA())</f>
        <v>#N/A</v>
      </c>
      <c r="M92" s="71">
        <f>IF(F92&lt;cr_floor,1,0)</f>
        <v>0.0</v>
      </c>
      <c r="N92" s="71">
        <f>IF(H92&lt;cr_floor,1,0)</f>
        <v>0.0</v>
      </c>
      <c r="O92" s="71">
        <f>IF(F92&lt;0,1,0)</f>
        <v>0.0</v>
      </c>
    </row>
    <row r="93" spans="5:15" s="1" customFormat="1">
      <c r="E93" s="70">
        <f>'Forecast'!B94</f>
        <v>46415.0</v>
      </c>
      <c r="F93" s="71">
        <f>'Forecast'!F94</f>
        <v>13280.0</v>
      </c>
      <c r="G93" s="71">
        <f>cr_floor+0</f>
        <v>5000.0</v>
      </c>
      <c r="H93" s="71">
        <f>'Forecast'!H94</f>
        <v>13280.0</v>
      </c>
      <c r="I93" s="71" t="e">
        <f>IF(AND(E93=cr_low_date,cr_no_answer=0),F93,NA())</f>
        <v>#N/A</v>
      </c>
      <c r="J93" s="71" t="e">
        <f>IF(AND(E93=cr_late_date,cr_late_low&lt;cr_low,cr_no_answer=0),H93,NA())</f>
        <v>#N/A</v>
      </c>
      <c r="K93" s="71" t="e">
        <f>IF(E93=cr_last,F93,NA())</f>
        <v>#N/A</v>
      </c>
      <c r="L93" s="71" t="e">
        <f>IF(E93=cr_start+8,G93,NA())</f>
        <v>#N/A</v>
      </c>
      <c r="M93" s="71">
        <f>IF(F93&lt;cr_floor,1,0)</f>
        <v>0.0</v>
      </c>
      <c r="N93" s="71">
        <f>IF(H93&lt;cr_floor,1,0)</f>
        <v>0.0</v>
      </c>
      <c r="O93" s="71">
        <f>IF(F93&lt;0,1,0)</f>
        <v>0.0</v>
      </c>
    </row>
    <row r="94" spans="5:15" s="1" customFormat="1">
      <c r="E94" s="70">
        <f>'Forecast'!B95</f>
        <v>46416.0</v>
      </c>
      <c r="F94" s="71">
        <f>'Forecast'!F95</f>
        <v>12480.0</v>
      </c>
      <c r="G94" s="71">
        <f>cr_floor+0</f>
        <v>5000.0</v>
      </c>
      <c r="H94" s="71">
        <f>'Forecast'!H95</f>
        <v>12480.0</v>
      </c>
      <c r="I94" s="71" t="e">
        <f>IF(AND(E94=cr_low_date,cr_no_answer=0),F94,NA())</f>
        <v>#N/A</v>
      </c>
      <c r="J94" s="71" t="e">
        <f>IF(AND(E94=cr_late_date,cr_late_low&lt;cr_low,cr_no_answer=0),H94,NA())</f>
        <v>#N/A</v>
      </c>
      <c r="K94" s="71" t="e">
        <f>IF(E94=cr_last,F94,NA())</f>
        <v>#N/A</v>
      </c>
      <c r="L94" s="71" t="e">
        <f>IF(E94=cr_start+8,G94,NA())</f>
        <v>#N/A</v>
      </c>
      <c r="M94" s="71">
        <f>IF(F94&lt;cr_floor,1,0)</f>
        <v>0.0</v>
      </c>
      <c r="N94" s="71">
        <f>IF(H94&lt;cr_floor,1,0)</f>
        <v>0.0</v>
      </c>
      <c r="O94" s="71">
        <f>IF(F94&lt;0,1,0)</f>
        <v>0.0</v>
      </c>
    </row>
    <row r="95" spans="5:15" s="1" customFormat="1">
      <c r="E95" s="70">
        <f>'Forecast'!B96</f>
        <v>46417.0</v>
      </c>
      <c r="F95" s="71">
        <f>'Forecast'!F96</f>
        <v>12480.0</v>
      </c>
      <c r="G95" s="71">
        <f>cr_floor+0</f>
        <v>5000.0</v>
      </c>
      <c r="H95" s="71">
        <f>'Forecast'!H96</f>
        <v>12480.0</v>
      </c>
      <c r="I95" s="71" t="e">
        <f>IF(AND(E95=cr_low_date,cr_no_answer=0),F95,NA())</f>
        <v>#N/A</v>
      </c>
      <c r="J95" s="71" t="e">
        <f>IF(AND(E95=cr_late_date,cr_late_low&lt;cr_low,cr_no_answer=0),H95,NA())</f>
        <v>#N/A</v>
      </c>
      <c r="K95" s="71">
        <f>IF(E95=cr_last,F95,NA())</f>
        <v>12480.0</v>
      </c>
      <c r="L95" s="71" t="e">
        <f>IF(E95=cr_start+8,G95,NA())</f>
        <v>#N/A</v>
      </c>
      <c r="M95" s="71">
        <f>IF(F95&lt;cr_floor,1,0)</f>
        <v>0.0</v>
      </c>
      <c r="N95" s="71">
        <f>IF(H95&lt;cr_floor,1,0)</f>
        <v>0.0</v>
      </c>
      <c r="O95" s="71">
        <f>IF(F95&lt;0,1,0)</f>
        <v>0.0</v>
      </c>
    </row>
    <row r="96" spans="5:15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</sheetData>
  <sheetProtection sheet="1" objects="1" scenarios="1" formatColumns="0"/>
  <pageMargins left="0.4" right="0.4" top="0.45" bottom="0.4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45</vt:i4>
      </vt:variant>
    </vt:vector>
  </HeadingPairs>
  <TitlesOfParts>
    <vt:vector size="51" baseType="lpstr">
      <vt:lpstr>Overview</vt:lpstr>
      <vt:lpstr>Your numbers</vt:lpstr>
      <vt:lpstr>Forecast</vt:lpstr>
      <vt:lpstr>Weeks</vt:lpstr>
      <vt:lpstr>How to use</vt:lpstr>
      <vt:lpstr>Workings</vt:lpstr>
      <vt:lpstr>cr_answer</vt:lpstr>
      <vt:lpstr>cr_below</vt:lpstr>
      <vt:lpstr>cr_big_amt</vt:lpstr>
      <vt:lpstr>cr_big_date</vt:lpstr>
      <vt:lpstr>cr_big_late</vt:lpstr>
      <vt:lpstr>cr_big_name</vt:lpstr>
      <vt:lpstr>cr_big_row</vt:lpstr>
      <vt:lpstr>cr_end</vt:lpstr>
      <vt:lpstr>cr_floor</vt:lpstr>
      <vt:lpstr>cr_gap_in</vt:lpstr>
      <vt:lpstr>cr_gap_list</vt:lpstr>
      <vt:lpstr>cr_gap_note</vt:lpstr>
      <vt:lpstr>cr_gap_out</vt:lpstr>
      <vt:lpstr>cr_gaps</vt:lpstr>
      <vt:lpstr>cr_if_late</vt:lpstr>
      <vt:lpstr>cr_in_amt</vt:lpstr>
      <vt:lpstr>cr_in_date</vt:lpstr>
      <vt:lpstr>cr_in_name</vt:lpstr>
      <vt:lpstr>cr_in_next</vt:lpstr>
      <vt:lpstr>cr_in_rep</vt:lpstr>
      <vt:lpstr>cr_in_status</vt:lpstr>
      <vt:lpstr>cr_lab_end</vt:lpstr>
      <vt:lpstr>cr_lab_floor</vt:lpstr>
      <vt:lpstr>cr_lab_late</vt:lpstr>
      <vt:lpstr>cr_lab_low</vt:lpstr>
      <vt:lpstr>cr_last</vt:lpstr>
      <vt:lpstr>cr_late</vt:lpstr>
      <vt:lpstr>cr_late_below</vt:lpstr>
      <vt:lpstr>cr_late_date</vt:lpstr>
      <vt:lpstr>cr_late_low</vt:lpstr>
      <vt:lpstr>cr_low</vt:lpstr>
      <vt:lpstr>cr_low_date</vt:lpstr>
      <vt:lpstr>cr_neg</vt:lpstr>
      <vt:lpstr>cr_no_answer</vt:lpstr>
      <vt:lpstr>cr_open</vt:lpstr>
      <vt:lpstr>cr_out_amt</vt:lpstr>
      <vt:lpstr>cr_out_date</vt:lpstr>
      <vt:lpstr>cr_out_name</vt:lpstr>
      <vt:lpstr>cr_out_next</vt:lpstr>
      <vt:lpstr>cr_out_rep</vt:lpstr>
      <vt:lpstr>cr_out_status</vt:lpstr>
      <vt:lpstr>cr_start</vt:lpstr>
      <vt:lpstr>cr_tot_in</vt:lpstr>
      <vt:lpstr>cr_tot_out</vt:lpstr>
      <vt:lpstr>Forecast!Print_Titles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Cash Runway</dc:title>
  <dc:creator/>
  <dc:description>Fictional sample</dc:description>
  <cp:lastModifiedBy/>
  <dcterms:created xsi:type="dcterms:W3CDTF">2026-11-01T16:31:05Z</dcterms:created>
  <dcterms:modified xsi:type="dcterms:W3CDTF">2026-11-01T16:31:05Z</dcterms:modified>
</cp:coreProperties>
</file>