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Your decisions" sheetId="1" r:id="rId1"/>
    <sheet name="Detail" sheetId="2" r:id="rId2"/>
    <sheet name="By category" sheetId="3" r:id="rId3"/>
    <sheet name="By month" sheetId="4" r:id="rId4"/>
    <sheet name="Checks" sheetId="5" r:id="rId5"/>
    <sheet name="How to use" sheetId="6" r:id="rId6"/>
    <sheet name="As read" sheetId="7" state="hidden" r:id="rId7"/>
  </sheets>
  <definedNames>
    <definedName name="_xlnm._FilterDatabase" localSheetId="1" hidden="1">Detail!$A$5:$L$77</definedName>
    <definedName name="ss_all_categories">'By category'!$G$32</definedName>
    <definedName name="ss_all_lines">'By category'!$G$33</definedName>
    <definedName name="ss_answer">'Your decisions'!$B$6</definedName>
    <definedName name="ss_asset">'Your decisions'!$E$17</definedName>
    <definedName name="ss_balance_diff">'Checks'!$E$10</definedName>
    <definedName name="ss_cannot">'Checks'!$H$3</definedName>
    <definedName name="ss_edit_text">'Checks'!$H$14</definedName>
    <definedName name="ss_edits">'Checks'!$H$13</definedName>
    <definedName name="ss_fail">'Checks'!$H$2</definedName>
    <definedName name="ss_first_break">'Checks'!$H$4</definedName>
    <definedName name="ss_first_line">'Checks'!$H$5</definedName>
    <definedName name="ss_guess">'Your decisions'!$E$10</definedName>
    <definedName name="ss_guess_n">'Your decisions'!$K$1</definedName>
    <definedName name="ss_income">'Your decisions'!$K$2</definedName>
    <definedName name="ss_income_guess">'Your decisions'!$E$12</definedName>
    <definedName name="ss_income_you">'Your decisions'!$E$11</definedName>
    <definedName name="ss_leftout">'Your decisions'!$E$21</definedName>
    <definedName name="ss_loan">'Your decisions'!$E$19</definedName>
    <definedName name="ss_private">'Your decisions'!$E$16</definedName>
    <definedName name="ss_refunds">'Your decisions'!$E$20</definedName>
    <definedName name="ss_second">'Your decisions'!$B$7</definedName>
    <definedName name="ss_spending">'Your decisions'!$K$3</definedName>
    <definedName name="ss_spending_guess">'Your decisions'!$E$14</definedName>
    <definedName name="ss_spending_you">'Your decisions'!$E$13</definedName>
    <definedName name="ss_tax">'Your decisions'!$E$15</definedName>
    <definedName name="ss_transfer">'Your decisions'!$E$18</definedName>
    <definedName name="ss_undecided">'Your decisions'!$E$9</definedName>
    <definedName name="ss_undecided_n">'By category'!$D$38</definedName>
  </definedNames>
  <calcPr calcId="124519" fullCalcOnLoad="1"/>
</workbook>
</file>

<file path=xl/sharedStrings.xml><?xml version="1.0" encoding="utf-8"?>
<sst xmlns="http://schemas.openxmlformats.org/spreadsheetml/2006/main" count="632" uniqueCount="218">
  <si>
    <t>Detail</t>
  </si>
  <si>
    <t>Money in is positive and money out is negative. Pick from the Category column; the other sheets follow.</t>
  </si>
  <si>
    <t>Fictional sample. The business, the bank, every name and every amount are made up.</t>
  </si>
  <si>
    <t>Line</t>
  </si>
  <si>
    <t>Date</t>
  </si>
  <si>
    <t>Statement says</t>
  </si>
  <si>
    <t>Amount</t>
  </si>
  <si>
    <t>Category</t>
  </si>
  <si>
    <t>I checked (x)</t>
  </si>
  <si>
    <t>State</t>
  </si>
  <si>
    <t>Why</t>
  </si>
  <si>
    <t>My suggestion</t>
  </si>
  <si>
    <t>Balance on statement</t>
  </si>
  <si>
    <t>Source line</t>
  </si>
  <si>
    <t>Possible duplicate</t>
  </si>
  <si>
    <t>month</t>
  </si>
  <si>
    <t>group</t>
  </si>
  <si>
    <t>first</t>
  </si>
  <si>
    <t>base</t>
  </si>
  <si>
    <t>last balance</t>
  </si>
  <si>
    <t>break</t>
  </si>
  <si>
    <t>neutral</t>
  </si>
  <si>
    <t>expected</t>
  </si>
  <si>
    <t>loan</t>
  </si>
  <si>
    <t>amount changed</t>
  </si>
  <si>
    <t>balance changed</t>
  </si>
  <si>
    <t>left out here</t>
  </si>
  <si>
    <t>loan booked</t>
  </si>
  <si>
    <t>RENT WORKSHOP BAY 4 CRAIGMOOR PROPERTY REF 00417 STANDING ORDER</t>
  </si>
  <si>
    <t>Rent</t>
  </si>
  <si>
    <t>Your rule: "CRAIGMOOR"</t>
  </si>
  <si>
    <t/>
  </si>
  <si>
    <t>You said</t>
  </si>
  <si>
    <t>INV 1041 TIDEWATER MOTEL</t>
  </si>
  <si>
    <t>Sales and fees</t>
  </si>
  <si>
    <t>Your rule: "TIDEWATER MOTEL"</t>
  </si>
  <si>
    <t>EFTPOS HALLORAN FOAM WHOLESALE SYD CARD 2207 VALUE 02/08</t>
  </si>
  <si>
    <t>Stock and materials</t>
  </si>
  <si>
    <t>Your rule: "HALLORAN FOAM"</t>
  </si>
  <si>
    <t>DD ELECTRICITY NTH COAST POWER</t>
  </si>
  <si>
    <t>Power, water and gas</t>
  </si>
  <si>
    <t>Your rule: "NTH COAST POWER"</t>
  </si>
  <si>
    <t>TFR TO SAVER 4471</t>
  </si>
  <si>
    <t>Between my accounts</t>
  </si>
  <si>
    <t>Goes to your own account "SAVER 4471"</t>
  </si>
  <si>
    <t>ATM WDL WOLLONG ST</t>
  </si>
  <si>
    <t>Needs you</t>
  </si>
  <si>
    <t>Cash out. I can't tell what the cash paid for.</t>
  </si>
  <si>
    <t>Private</t>
  </si>
  <si>
    <t>POS PEBBLE RD SUPERMARKET</t>
  </si>
  <si>
    <t>Your rule: "SUPERMARKET"</t>
  </si>
  <si>
    <t>MERCHANT FEE AUG</t>
  </si>
  <si>
    <t>Bank and payment fees</t>
  </si>
  <si>
    <t>The line says "merchant fee"</t>
  </si>
  <si>
    <t>Our guess, not checked</t>
  </si>
  <si>
    <t>MOBILE PLAN BILLPAY KESTREL TEL</t>
  </si>
  <si>
    <t>Phone and internet</t>
  </si>
  <si>
    <t>Your rule: "KESTREL TEL"</t>
  </si>
  <si>
    <t>PYMT T HOLLOWAY</t>
  </si>
  <si>
    <t>Money came in and the line doesn't say why. A sale, a loan, money of your own, or something else?</t>
  </si>
  <si>
    <t>INV 1042 ROSEDEAN CAFE</t>
  </si>
  <si>
    <t>A$1,460.00 came in, at or above the A$1,000.00 you asked to see. Is this what it looks like: earned, not borrowed or your own money?</t>
  </si>
  <si>
    <t>FUEL COPPERTOP SERVO</t>
  </si>
  <si>
    <t>Travel and fuel</t>
  </si>
  <si>
    <t>Your rule: "COPPERTOP"</t>
  </si>
  <si>
    <t>INSURANCE BUSINESS PACK QUARTERLY</t>
  </si>
  <si>
    <t>Insurance</t>
  </si>
  <si>
    <t>Your rule: "BUSINESS PACK"</t>
  </si>
  <si>
    <t>SEWPRO MONTHLY SUBSCRIPTION</t>
  </si>
  <si>
    <t>Software and subscriptions</t>
  </si>
  <si>
    <t>Your rule: "SEWPRO"</t>
  </si>
  <si>
    <t>RENT WORKSHOP BAY 4 CRAIGMOOR PROPERTY</t>
  </si>
  <si>
    <t>EFTPOS HALLORAN FOAM WHOLESALE SYD</t>
  </si>
  <si>
    <t>REFUND HALLORAN FOAM WHOLESALE</t>
  </si>
  <si>
    <t>INV 1043 LARCHFIELD SCHOOL</t>
  </si>
  <si>
    <t>Your rule: "LARCHFIELD SCHOOL"</t>
  </si>
  <si>
    <t>DENHOLM INDUSTRIAL SEWING MACHINE</t>
  </si>
  <si>
    <t>Large purchase</t>
  </si>
  <si>
    <t>Your rule: "DENHOLM"</t>
  </si>
  <si>
    <t>XFER 88213</t>
  </si>
  <si>
    <t>A transfer, and I can't tell whose account the other end is. Yours, or a payment to someone?</t>
  </si>
  <si>
    <t>MERCHANT FEE SEP</t>
  </si>
  <si>
    <t>BOOKKEEPER J ANSTEY</t>
  </si>
  <si>
    <t>Accountant and legal</t>
  </si>
  <si>
    <t>The line says "bookkeeper"</t>
  </si>
  <si>
    <t>POSTAGE PARCEL DEPOT</t>
  </si>
  <si>
    <t>Office supplies</t>
  </si>
  <si>
    <t>The line says "postage"</t>
  </si>
  <si>
    <t>Same date, wording and amount as line 25, and the balance moved both times. The bank did take it twice. Is that right, or do you need to ask for it back?</t>
  </si>
  <si>
    <t>TAX OFFICE PAYMENT</t>
  </si>
  <si>
    <t>Tax and government payments</t>
  </si>
  <si>
    <t>Your rule: "TAX OFFICE"</t>
  </si>
  <si>
    <t>REFUND BRIGHTWATER TEXTILES</t>
  </si>
  <si>
    <t>This looks like a refund, but the purchase it came from is not on this statement. What category did that purchase belong to?</t>
  </si>
  <si>
    <t>INV 1044 TIDEWATER MOTEL</t>
  </si>
  <si>
    <t>PHARMACY LARKSPUR</t>
  </si>
  <si>
    <t>Says "pharmacy", which is often private. Business or private?</t>
  </si>
  <si>
    <t>MERCHANT FEE OCT</t>
  </si>
  <si>
    <t>INV 1045 ROSEDEAN CAFE</t>
  </si>
  <si>
    <t>The line says "inv"</t>
  </si>
  <si>
    <t>LOAN REPAYMENT KINGFISHER FINANCE</t>
  </si>
  <si>
    <t>Says "repayment". A loan payment is often part debt and part interest, so it stays out of spending until you say. Keep it as Loan money, or split it?</t>
  </si>
  <si>
    <t>Loan money</t>
  </si>
  <si>
    <t>TOPSTITCH TRADE DAY</t>
  </si>
  <si>
    <t>Nothing on this line says what it was for.</t>
  </si>
  <si>
    <t>INTEREST</t>
  </si>
  <si>
    <t>Interest received</t>
  </si>
  <si>
    <t>The line says "interest"</t>
  </si>
  <si>
    <t>By category</t>
  </si>
  <si>
    <t>A refund shows under Money in on the category it came back to, and lowers that category's net.</t>
  </si>
  <si>
    <t>Group</t>
  </si>
  <si>
    <t>Lines</t>
  </si>
  <si>
    <t>Money in</t>
  </si>
  <si>
    <t>Money out</t>
  </si>
  <si>
    <t>Net</t>
  </si>
  <si>
    <t>Undecided</t>
  </si>
  <si>
    <t>Other income</t>
  </si>
  <si>
    <t>Spending</t>
  </si>
  <si>
    <t>Wages and contractors</t>
  </si>
  <si>
    <t>Advertising</t>
  </si>
  <si>
    <t>Other spending</t>
  </si>
  <si>
    <t>Tax and government</t>
  </si>
  <si>
    <t>Large purchases</t>
  </si>
  <si>
    <t>Left out</t>
  </si>
  <si>
    <t>Leave out (duplicate or never happened)</t>
  </si>
  <si>
    <t>All categories</t>
  </si>
  <si>
    <t>All lines on the statement</t>
  </si>
  <si>
    <t>Difference</t>
  </si>
  <si>
    <t>Totals by group</t>
  </si>
  <si>
    <t>By month</t>
  </si>
  <si>
    <t>Month</t>
  </si>
  <si>
    <t>Net movement</t>
  </si>
  <si>
    <t>Total</t>
  </si>
  <si>
    <t>Each category by month</t>
  </si>
  <si>
    <t>Checks against the statement</t>
  </si>
  <si>
    <t>A check that does not tie stays red here and puts a warning at the top of the first sheet. Nothing is adjusted to make it tie. Tying only means the sums add up. It does not mean a category is right.</t>
  </si>
  <si>
    <t>Check</t>
  </si>
  <si>
    <t>Statement</t>
  </si>
  <si>
    <t>This workbook</t>
  </si>
  <si>
    <t>Result</t>
  </si>
  <si>
    <t>Lines that could not be read (should be 0)</t>
  </si>
  <si>
    <t>All categories add up to all lines</t>
  </si>
  <si>
    <t>Opening balance</t>
  </si>
  <si>
    <t>Closing balance</t>
  </si>
  <si>
    <t>Opening balance plus all movements equals closing balance</t>
  </si>
  <si>
    <t>Places where the running balance does not follow (should be 0)</t>
  </si>
  <si>
    <t>First place the balance stops following: expected, statement shows, difference</t>
  </si>
  <si>
    <t>Lines outside the period the statement states (should be 0)</t>
  </si>
  <si>
    <t>All months add up to all lines</t>
  </si>
  <si>
    <t>Lines with a category that is not on the list (should be 0)</t>
  </si>
  <si>
    <t>Statement can be shown to be complete</t>
  </si>
  <si>
    <t>OK</t>
  </si>
  <si>
    <t>Changed on the sheet since it was read</t>
  </si>
  <si>
    <t>Possible duplicates flagged (for you to look at)</t>
  </si>
  <si>
    <t>A printed opening balance and closing balance that tie, or a wallet's own record count, are the only proof nothing was cut off.</t>
  </si>
  <si>
    <t>Every line of the source accounted for</t>
  </si>
  <si>
    <t>Lines in the source</t>
  </si>
  <si>
    <t>Read as transactions</t>
  </si>
  <si>
    <t>Joined to the line above</t>
  </si>
  <si>
    <t>Headings, totals and balances</t>
  </si>
  <si>
    <t>Page footers and lines you told it to ignore</t>
  </si>
  <si>
    <t>Blank</t>
  </si>
  <si>
    <t>Could not be read</t>
  </si>
  <si>
    <t>Formulas here were worked out by the pack's own calculator from the formula text. This file was not opened in real Excel.</t>
  </si>
  <si>
    <t>Statement Sorter</t>
  </si>
  <si>
    <t>Marlow Bay Upholstery   2026-08-01 to 2026-10-30</t>
  </si>
  <si>
    <t>"Our guess, not checked" means one word on the line suggested the category and nobody has confirmed it. Please scan those lines. "Tie" only means the sums add up. It does not mean a category is right.</t>
  </si>
  <si>
    <t>Still undecided</t>
  </si>
  <si>
    <t>Money in, you decided</t>
  </si>
  <si>
    <t>Money in, still our guess</t>
  </si>
  <si>
    <t>Spending, you decided</t>
  </si>
  <si>
    <t>Spending, still our guess</t>
  </si>
  <si>
    <t>Refunds taken off spending</t>
  </si>
  <si>
    <t>Left out of all totals</t>
  </si>
  <si>
    <t>Between my accounts, Loan money, Private, Large purchases and Tax and government are not counted as money in or spending.</t>
  </si>
  <si>
    <t>This sorts money into ordinary bookkeeping words. It does not say what is deductible or what you owe. Your accountant decides that.</t>
  </si>
  <si>
    <t>If your agent rebuilds this workbook, ask it to pass this file back in, or your dropdown choices are lost. Your choices win over rules.</t>
  </si>
  <si>
    <t>Amounts and balances are locked without a password, so they aren't changed by accident. This is not tamper-proof: the first sheet compares them to a hidden copy of what was read and says what changed.</t>
  </si>
  <si>
    <t>Lines waiting for you</t>
  </si>
  <si>
    <t>Change the Category column on the Detail sheet. This list, every total and the chart follow.</t>
  </si>
  <si>
    <t>What I need to know</t>
  </si>
  <si>
    <t>Category now</t>
  </si>
  <si>
    <t>No suggestion</t>
  </si>
  <si>
    <t>Lines of A$1,000.00 or more you have already answered</t>
  </si>
  <si>
    <t>Our guesses, not checked: please scan these</t>
  </si>
  <si>
    <t>If one is right, type x in the I checked column on Detail. If it is wrong, change its category.</t>
  </si>
  <si>
    <t>What each rule caught</t>
  </si>
  <si>
    <t>Source</t>
  </si>
  <si>
    <t>What the line says</t>
  </si>
  <si>
    <t>SEWPRO  →  Software and subscriptions</t>
  </si>
  <si>
    <t>SUPERMARKET  →  Private</t>
  </si>
  <si>
    <t>DENHOLM  →  Large purchase</t>
  </si>
  <si>
    <t>CRAIGMOOR  →  Rent</t>
  </si>
  <si>
    <t>NTH COAST POWER  →  Power, water and gas</t>
  </si>
  <si>
    <t>KESTREL TEL  →  Phone and internet</t>
  </si>
  <si>
    <t>HALLORAN FOAM  →  Stock and materials</t>
  </si>
  <si>
    <t>COPPERTOP  →  Travel and fuel</t>
  </si>
  <si>
    <t>BUSINESS PACK  →  Insurance</t>
  </si>
  <si>
    <t>TAX OFFICE  →  Tax and government payments</t>
  </si>
  <si>
    <t>TIDEWATER MOTEL  →  Sales and fees</t>
  </si>
  <si>
    <t>LARCHFIELD SCHOOL  →  Sales and fees</t>
  </si>
  <si>
    <t>Your account: SAVER 4471  →  Between my accounts</t>
  </si>
  <si>
    <t>Assumptions to confirm</t>
  </si>
  <si>
    <t>Every line of A$1,000.00 or more, in or out, is on the first sheet, waiting or already answered.</t>
  </si>
  <si>
    <t>How to use this</t>
  </si>
  <si>
    <t>Start with Your decisions. It lists each line that needs you and says what it needs to know.</t>
  </si>
  <si>
    <t>On Detail, pick a category from the dropdown in the blue column. Totals, months, the chart and the list on the first sheet all change straight away.</t>
  </si>
  <si>
    <t>Pick Needs you to send a line back. Its money goes back into Still undecided.</t>
  </si>
  <si>
    <t>Between my accounts is money moved between your own accounts. It is left out of money in and spending.</t>
  </si>
  <si>
    <t>Private, Large purchase and Tax and government are kept apart from spending, so you can see them and ask your accountant.</t>
  </si>
  <si>
    <t>If a line was pasted twice, pick Leave out on the second copy. The warning clears when the balances follow again. If the line was real, the warning stays.</t>
  </si>
  <si>
    <t>If a line is missing, add it in the empty rows at the bottom of Detail. The warning clears when opening plus movements equals closing again.</t>
  </si>
  <si>
    <t>Our guess, not checked means one word suggested the category. Type x in the I checked column if it is right, or change the category if it is wrong.</t>
  </si>
  <si>
    <t>Your choices win over rules. If your agent rebuilds this workbook, ask it to pass this file back in, or your dropdown choices are lost.</t>
  </si>
  <si>
    <t>To add a line, type in the empty rows at the bottom of Detail: date, wording, amount with a minus for money out, then a category.</t>
  </si>
  <si>
    <t>To add a category, type its name in a blue row at the end of the By category sheet. It counts as spending.</t>
  </si>
  <si>
    <t>This workbook does not say what is deductible. The category names are ordinary bookkeeping words, and your accountant decides the rest.</t>
  </si>
  <si>
    <t>Nothing here connects to the internet. Your statement stays in this file. Be careful who you send it to.</t>
  </si>
</sst>
</file>

<file path=xl/styles.xml><?xml version="1.0" encoding="utf-8"?>
<styleSheet xmlns="http://schemas.openxmlformats.org/spreadsheetml/2006/main">
  <numFmts count="5">
    <numFmt numFmtId="164" formatCode="&quot;A$&quot;#,##0.00;-&quot;A$&quot;#,##0.00;&quot;A$&quot;0.00"/>
    <numFmt numFmtId="165" formatCode="dd mmm yyyy"/>
    <numFmt numFmtId="166" formatCode="0;-0;;"/>
    <numFmt numFmtId="167" formatCode="&quot;A$&quot;#,##0.00;-&quot;A$&quot;#,##0.00;;"/>
    <numFmt numFmtId="168" formatCode="mmm yyyy"/>
  </numFmts>
  <fonts count="22">
    <font>
      <sz val="11"/>
      <color theme="1"/>
      <name val="Calibri"/>
      <family val="2"/>
      <scheme val="minor"/>
    </font>
    <font>
      <sz val="10.5"/>
      <color rgb="FF16203A"/>
      <name val="Arial"/>
      <family val="2"/>
    </font>
    <font>
      <sz val="10.5"/>
      <color rgb="FFF7F2E6"/>
      <name val="Arial"/>
      <family val="2"/>
    </font>
    <font>
      <b/>
      <sz val="20"/>
      <color rgb="FF2346C7"/>
      <name val="Arial"/>
      <family val="2"/>
    </font>
    <font>
      <sz val="10.5"/>
      <color rgb="FF6C6A61"/>
      <name val="Arial"/>
      <family val="2"/>
    </font>
    <font>
      <b/>
      <sz val="10.5"/>
      <color rgb="FFC21F30"/>
      <name val="Arial"/>
      <family val="2"/>
    </font>
    <font>
      <b/>
      <sz val="17"/>
      <color rgb="FF16203A"/>
      <name val="Arial"/>
      <family val="2"/>
    </font>
    <font>
      <b/>
      <sz val="10.5"/>
      <color rgb="FF16203A"/>
      <name val="Arial"/>
      <family val="2"/>
    </font>
    <font>
      <b/>
      <i/>
      <sz val="10.5"/>
      <color rgb="FF2346C7"/>
      <name val="Arial"/>
      <family val="2"/>
    </font>
    <font>
      <b/>
      <sz val="10.5"/>
      <color rgb="FF2346C7"/>
      <name val="Arial"/>
      <family val="2"/>
    </font>
    <font>
      <b/>
      <sz val="10.5"/>
      <color rgb="FF007A5A"/>
      <name val="Arial"/>
      <family val="2"/>
    </font>
    <font>
      <b/>
      <sz val="10.5"/>
      <color rgb="FF3B3F6B"/>
      <name val="Arial"/>
      <family val="2"/>
    </font>
    <font>
      <b/>
      <sz val="10.5"/>
      <color rgb="FF8E2A78"/>
      <name val="Arial"/>
      <family val="2"/>
    </font>
    <font>
      <b/>
      <sz val="10.5"/>
      <color rgb="FFA64B00"/>
      <name val="Arial"/>
      <family val="2"/>
    </font>
    <font>
      <b/>
      <sz val="10.5"/>
      <color rgb="FF555A66"/>
      <name val="Arial"/>
      <family val="2"/>
    </font>
    <font>
      <b/>
      <sz val="10.5"/>
      <color rgb="FF8B8878"/>
      <name val="Arial"/>
      <family val="2"/>
    </font>
    <font>
      <b/>
      <sz val="13"/>
      <color rgb="FF16203A"/>
      <name val="Arial"/>
      <family val="2"/>
    </font>
    <font>
      <sz val="10.5"/>
      <color rgb="FF2346C7"/>
      <name val="Arial"/>
      <family val="2"/>
    </font>
    <font>
      <b/>
      <sz val="18"/>
      <color rgb="FF16203A"/>
      <name val="Arial"/>
      <family val="2"/>
    </font>
    <font>
      <sz val="10.5"/>
      <color rgb="FFC21F30"/>
      <name val="Arial"/>
      <family val="2"/>
    </font>
    <font>
      <sz val="10.5"/>
      <color rgb="FF16203A"/>
      <name val="Arial"/>
      <family val="2"/>
    </font>
    <font>
      <b/>
      <sz val="12"/>
      <color rgb="FF16203A"/>
      <name val="Arial"/>
      <family val="2"/>
    </font>
  </fonts>
  <fills count="4">
    <fill>
      <patternFill patternType="none"/>
    </fill>
    <fill>
      <patternFill patternType="gray125"/>
    </fill>
    <fill>
      <patternFill patternType="solid">
        <fgColor rgb="FFF7F2E6"/>
        <bgColor indexed="64"/>
      </patternFill>
    </fill>
    <fill>
      <patternFill patternType="solid">
        <fgColor rgb="FFE7ECFB"/>
        <bgColor indexed="64"/>
      </patternFill>
    </fill>
  </fills>
  <borders count="7">
    <border>
      <left/>
      <right/>
      <top/>
      <bottom/>
      <diagonal/>
    </border>
    <border>
      <left/>
      <right/>
      <top/>
      <bottom style="thin">
        <color rgb="FFE7E0CD"/>
      </bottom>
      <diagonal/>
    </border>
    <border>
      <left/>
      <right/>
      <top/>
      <bottom style="medium">
        <color rgb="FF16203A"/>
      </bottom>
      <diagonal/>
    </border>
    <border>
      <left/>
      <right/>
      <top style="thin">
        <color rgb="FFCFC7B2"/>
      </top>
      <bottom/>
      <diagonal/>
    </border>
    <border>
      <left/>
      <right/>
      <top/>
      <bottom style="thin">
        <color rgb="FFCFC7B2"/>
      </bottom>
      <diagonal/>
    </border>
    <border>
      <left/>
      <right/>
      <top style="thin">
        <color rgb="FFE7E0CD"/>
      </top>
      <bottom/>
      <diagonal/>
    </border>
    <border>
      <left/>
      <right/>
      <top style="medium">
        <color rgb="FF16203A"/>
      </top>
      <bottom/>
      <diagonal/>
    </border>
  </borders>
  <cellStyleXfs count="1">
    <xf numFmtId="0" fontId="0" fillId="0" borderId="0"/>
  </cellStyleXfs>
  <cellXfs count="8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6" fillId="3" borderId="0" xfId="0" applyFont="1" applyFill="1" applyAlignment="1">
      <alignment vertical="center" wrapText="1"/>
    </xf>
    <xf numFmtId="0" fontId="4" fillId="2" borderId="0" xfId="0" applyFont="1" applyFill="1" applyAlignment="1">
      <alignment vertical="top" wrapText="1"/>
    </xf>
    <xf numFmtId="0" fontId="4" fillId="2" borderId="0" xfId="0" applyFont="1" applyFill="1" applyAlignment="1">
      <alignment vertical="center" wrapText="1"/>
    </xf>
    <xf numFmtId="0" fontId="1" fillId="2" borderId="0" xfId="0" applyFont="1" applyFill="1" applyAlignment="1">
      <alignment vertical="top" wrapText="1"/>
    </xf>
    <xf numFmtId="0" fontId="7" fillId="2" borderId="1" xfId="0" applyFont="1" applyFill="1" applyBorder="1" applyAlignment="1">
      <alignment vertical="center"/>
    </xf>
    <xf numFmtId="164" fontId="7" fillId="2" borderId="1" xfId="0" applyNumberFormat="1" applyFont="1" applyFill="1" applyBorder="1" applyAlignment="1">
      <alignment vertical="center"/>
    </xf>
    <xf numFmtId="0" fontId="8" fillId="2" borderId="1" xfId="0" applyFont="1" applyFill="1" applyBorder="1" applyAlignment="1">
      <alignment vertical="center"/>
    </xf>
    <xf numFmtId="0" fontId="9" fillId="2" borderId="1" xfId="0" applyFont="1" applyFill="1" applyBorder="1" applyAlignment="1">
      <alignment vertical="center"/>
    </xf>
    <xf numFmtId="0" fontId="10" fillId="2" borderId="1" xfId="0" applyFont="1" applyFill="1" applyBorder="1" applyAlignment="1">
      <alignment vertical="center"/>
    </xf>
    <xf numFmtId="0" fontId="11" fillId="2" borderId="1" xfId="0" applyFont="1" applyFill="1" applyBorder="1" applyAlignment="1">
      <alignment vertical="center"/>
    </xf>
    <xf numFmtId="0" fontId="12" fillId="2" borderId="1" xfId="0" applyFont="1" applyFill="1" applyBorder="1" applyAlignment="1">
      <alignment vertical="center"/>
    </xf>
    <xf numFmtId="0" fontId="13" fillId="2" borderId="1" xfId="0" applyFont="1" applyFill="1" applyBorder="1" applyAlignment="1">
      <alignment vertical="center"/>
    </xf>
    <xf numFmtId="0" fontId="14" fillId="2" borderId="1" xfId="0" applyFont="1" applyFill="1" applyBorder="1" applyAlignment="1">
      <alignment vertical="center"/>
    </xf>
    <xf numFmtId="0" fontId="15" fillId="2" borderId="1" xfId="0" applyFont="1" applyFill="1" applyBorder="1" applyAlignment="1">
      <alignment vertical="center"/>
    </xf>
    <xf numFmtId="0" fontId="16" fillId="2" borderId="0" xfId="0" applyFont="1" applyFill="1" applyAlignment="1">
      <alignment vertical="center"/>
    </xf>
    <xf numFmtId="0" fontId="7" fillId="2" borderId="2" xfId="0" applyFont="1" applyFill="1" applyBorder="1" applyAlignment="1">
      <alignment horizontal="left" vertical="center"/>
    </xf>
    <xf numFmtId="0" fontId="7" fillId="2" borderId="2" xfId="0" applyFont="1" applyFill="1" applyBorder="1" applyAlignment="1">
      <alignment horizontal="right" vertical="center"/>
    </xf>
    <xf numFmtId="0" fontId="4" fillId="2" borderId="1" xfId="0" applyFont="1" applyFill="1" applyBorder="1" applyAlignment="1">
      <alignment horizontal="center" vertical="top"/>
    </xf>
    <xf numFmtId="165" fontId="1" fillId="2" borderId="1" xfId="0" applyNumberFormat="1" applyFont="1" applyFill="1" applyBorder="1" applyAlignment="1">
      <alignment horizontal="left" vertical="top"/>
    </xf>
    <xf numFmtId="0" fontId="1" fillId="2" borderId="1" xfId="0" applyFont="1" applyFill="1" applyBorder="1" applyAlignment="1">
      <alignment vertical="top" wrapText="1"/>
    </xf>
    <xf numFmtId="164" fontId="7" fillId="2" borderId="1" xfId="0" applyNumberFormat="1" applyFont="1" applyFill="1" applyBorder="1" applyAlignment="1">
      <alignment vertical="top"/>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7" fillId="2" borderId="1" xfId="0" applyFont="1" applyFill="1" applyBorder="1" applyAlignment="1">
      <alignment vertical="top" wrapText="1"/>
    </xf>
    <xf numFmtId="0" fontId="7" fillId="2" borderId="2" xfId="0" applyFont="1" applyFill="1" applyBorder="1" applyAlignment="1">
      <alignment vertical="center"/>
    </xf>
    <xf numFmtId="0" fontId="7" fillId="2" borderId="3" xfId="0" applyFont="1" applyFill="1" applyBorder="1" applyAlignment="1">
      <alignment vertical="center"/>
    </xf>
    <xf numFmtId="164" fontId="7" fillId="2" borderId="3" xfId="0" applyNumberFormat="1" applyFont="1" applyFill="1" applyBorder="1" applyAlignment="1">
      <alignment vertical="center"/>
    </xf>
    <xf numFmtId="0" fontId="4" fillId="2" borderId="0" xfId="0" applyFont="1" applyFill="1" applyAlignment="1">
      <alignment horizontal="center" vertical="center"/>
    </xf>
    <xf numFmtId="0" fontId="4" fillId="2" borderId="0" xfId="0" applyFont="1" applyFill="1" applyAlignment="1">
      <alignment horizontal="left" vertical="center"/>
    </xf>
    <xf numFmtId="164" fontId="1" fillId="2" borderId="0" xfId="0" applyNumberFormat="1" applyFont="1" applyFill="1" applyAlignment="1">
      <alignment vertical="center"/>
    </xf>
    <xf numFmtId="0" fontId="18" fillId="2" borderId="0" xfId="0" applyFont="1" applyFill="1" applyAlignment="1">
      <alignment vertical="center"/>
    </xf>
    <xf numFmtId="0" fontId="7" fillId="2" borderId="2" xfId="0" applyFont="1" applyFill="1" applyBorder="1" applyAlignment="1">
      <alignment wrapText="1"/>
    </xf>
    <xf numFmtId="0" fontId="4" fillId="2" borderId="1" xfId="0" applyFont="1" applyFill="1" applyBorder="1" applyAlignment="1">
      <alignment horizontal="center" vertical="center"/>
    </xf>
    <xf numFmtId="165" fontId="1" fillId="2" borderId="1" xfId="0" applyNumberFormat="1" applyFont="1" applyFill="1" applyBorder="1" applyAlignment="1">
      <alignment horizontal="left" vertical="center"/>
    </xf>
    <xf numFmtId="0" fontId="1" fillId="2" borderId="1" xfId="0" applyFont="1" applyFill="1" applyBorder="1" applyAlignment="1">
      <alignment vertical="center"/>
    </xf>
    <xf numFmtId="164" fontId="1" fillId="2" borderId="1" xfId="0" applyNumberFormat="1" applyFont="1" applyFill="1" applyBorder="1" applyAlignment="1">
      <alignment vertical="center"/>
    </xf>
    <xf numFmtId="0" fontId="17" fillId="3" borderId="4" xfId="0" applyFont="1" applyFill="1" applyBorder="1" applyAlignment="1" applyProtection="1">
      <alignment vertical="center"/>
      <protection locked="0"/>
    </xf>
    <xf numFmtId="0" fontId="17" fillId="3" borderId="4" xfId="0" applyFont="1" applyFill="1" applyBorder="1" applyAlignment="1" applyProtection="1">
      <alignment horizontal="center" vertical="center"/>
      <protection locked="0"/>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19" fillId="2" borderId="1" xfId="0" applyFont="1" applyFill="1" applyBorder="1" applyAlignment="1">
      <alignment vertical="center"/>
    </xf>
    <xf numFmtId="165" fontId="17" fillId="3" borderId="4" xfId="0" applyNumberFormat="1" applyFont="1" applyFill="1" applyBorder="1" applyAlignment="1" applyProtection="1">
      <alignment horizontal="left" vertical="center"/>
      <protection locked="0"/>
    </xf>
    <xf numFmtId="164" fontId="17" fillId="3" borderId="4" xfId="0" applyNumberFormat="1" applyFont="1" applyFill="1" applyBorder="1" applyAlignment="1" applyProtection="1">
      <alignment vertical="center"/>
      <protection locked="0"/>
    </xf>
    <xf numFmtId="166" fontId="1" fillId="2" borderId="3" xfId="0" applyNumberFormat="1" applyFont="1" applyFill="1" applyBorder="1" applyAlignment="1">
      <alignment horizontal="right" vertical="center"/>
    </xf>
    <xf numFmtId="167" fontId="1" fillId="2" borderId="3" xfId="0" applyNumberFormat="1" applyFont="1" applyFill="1" applyBorder="1" applyAlignment="1">
      <alignment vertical="center"/>
    </xf>
    <xf numFmtId="167" fontId="7" fillId="2" borderId="3" xfId="0" applyNumberFormat="1" applyFont="1" applyFill="1" applyBorder="1" applyAlignment="1">
      <alignment vertical="center"/>
    </xf>
    <xf numFmtId="0" fontId="10" fillId="2" borderId="3" xfId="0" applyFont="1" applyFill="1" applyBorder="1" applyAlignment="1">
      <alignment vertical="center"/>
    </xf>
    <xf numFmtId="0" fontId="20" fillId="2" borderId="3" xfId="0" applyFont="1" applyFill="1" applyBorder="1" applyAlignment="1">
      <alignment vertical="center"/>
    </xf>
    <xf numFmtId="0" fontId="10" fillId="2" borderId="5" xfId="0" applyFont="1" applyFill="1" applyBorder="1" applyAlignment="1">
      <alignment vertical="center"/>
    </xf>
    <xf numFmtId="0" fontId="20" fillId="2" borderId="5" xfId="0" applyFont="1" applyFill="1" applyBorder="1" applyAlignment="1">
      <alignment vertical="center"/>
    </xf>
    <xf numFmtId="166" fontId="1" fillId="2" borderId="5" xfId="0" applyNumberFormat="1" applyFont="1" applyFill="1" applyBorder="1" applyAlignment="1">
      <alignment horizontal="right" vertical="center"/>
    </xf>
    <xf numFmtId="167" fontId="1" fillId="2" borderId="5" xfId="0" applyNumberFormat="1" applyFont="1" applyFill="1" applyBorder="1" applyAlignment="1">
      <alignment vertical="center"/>
    </xf>
    <xf numFmtId="167" fontId="7" fillId="2" borderId="5" xfId="0" applyNumberFormat="1" applyFont="1" applyFill="1" applyBorder="1" applyAlignment="1">
      <alignment vertical="center"/>
    </xf>
    <xf numFmtId="0" fontId="9" fillId="2" borderId="3" xfId="0" applyFont="1" applyFill="1" applyBorder="1" applyAlignment="1">
      <alignment vertical="center"/>
    </xf>
    <xf numFmtId="0" fontId="9" fillId="2" borderId="5" xfId="0" applyFont="1" applyFill="1" applyBorder="1" applyAlignment="1">
      <alignment vertical="center"/>
    </xf>
    <xf numFmtId="0" fontId="11" fillId="2" borderId="3" xfId="0" applyFont="1" applyFill="1" applyBorder="1" applyAlignment="1">
      <alignment vertical="center"/>
    </xf>
    <xf numFmtId="0" fontId="12" fillId="2" borderId="3" xfId="0" applyFont="1" applyFill="1" applyBorder="1" applyAlignment="1">
      <alignment vertical="center"/>
    </xf>
    <xf numFmtId="0" fontId="13" fillId="2" borderId="3" xfId="0" applyFont="1" applyFill="1" applyBorder="1" applyAlignment="1">
      <alignment vertical="center"/>
    </xf>
    <xf numFmtId="0" fontId="14" fillId="2" borderId="3" xfId="0" applyFont="1" applyFill="1" applyBorder="1" applyAlignment="1">
      <alignment vertical="center"/>
    </xf>
    <xf numFmtId="0" fontId="15" fillId="2" borderId="3" xfId="0" applyFont="1" applyFill="1" applyBorder="1" applyAlignment="1">
      <alignment vertical="center"/>
    </xf>
    <xf numFmtId="0" fontId="17" fillId="3" borderId="3" xfId="0" applyFont="1" applyFill="1" applyBorder="1" applyAlignment="1" applyProtection="1">
      <alignment vertical="center"/>
      <protection locked="0"/>
    </xf>
    <xf numFmtId="0" fontId="17" fillId="3" borderId="5" xfId="0" applyFont="1" applyFill="1" applyBorder="1" applyAlignment="1" applyProtection="1">
      <alignment vertical="center"/>
      <protection locked="0"/>
    </xf>
    <xf numFmtId="0" fontId="7" fillId="2" borderId="6" xfId="0" applyFont="1" applyFill="1" applyBorder="1" applyAlignment="1">
      <alignment vertical="center"/>
    </xf>
    <xf numFmtId="0" fontId="1" fillId="2" borderId="6" xfId="0" applyFont="1" applyFill="1" applyBorder="1" applyAlignment="1">
      <alignment vertical="center"/>
    </xf>
    <xf numFmtId="164" fontId="7" fillId="2" borderId="6" xfId="0" applyNumberFormat="1" applyFont="1" applyFill="1" applyBorder="1" applyAlignment="1">
      <alignment vertical="center"/>
    </xf>
    <xf numFmtId="164" fontId="7" fillId="2" borderId="0" xfId="0" applyNumberFormat="1" applyFont="1" applyFill="1" applyAlignment="1">
      <alignment vertical="center"/>
    </xf>
    <xf numFmtId="164" fontId="5" fillId="2" borderId="0" xfId="0" applyNumberFormat="1" applyFont="1" applyFill="1" applyAlignment="1">
      <alignment vertical="center"/>
    </xf>
    <xf numFmtId="0" fontId="21" fillId="2" borderId="0" xfId="0" applyFont="1" applyFill="1" applyAlignment="1">
      <alignment vertical="center"/>
    </xf>
    <xf numFmtId="0" fontId="1" fillId="2" borderId="2" xfId="0" applyFont="1" applyFill="1" applyBorder="1" applyAlignment="1">
      <alignment vertical="center"/>
    </xf>
    <xf numFmtId="1" fontId="1" fillId="2" borderId="1" xfId="0" applyNumberFormat="1" applyFont="1" applyFill="1" applyBorder="1" applyAlignment="1">
      <alignment horizontal="right" vertical="center"/>
    </xf>
    <xf numFmtId="0" fontId="7" fillId="2" borderId="2" xfId="0" applyFont="1" applyFill="1" applyBorder="1" applyAlignment="1">
      <alignment horizontal="left" wrapText="1"/>
    </xf>
    <xf numFmtId="0" fontId="7" fillId="2" borderId="2" xfId="0" applyFont="1" applyFill="1" applyBorder="1" applyAlignment="1">
      <alignment horizontal="right" wrapText="1"/>
    </xf>
    <xf numFmtId="168" fontId="7" fillId="2" borderId="1" xfId="0" applyNumberFormat="1" applyFont="1" applyFill="1" applyBorder="1" applyAlignment="1">
      <alignment horizontal="left" vertical="center"/>
    </xf>
    <xf numFmtId="167" fontId="1" fillId="2" borderId="1" xfId="0" applyNumberFormat="1" applyFont="1" applyFill="1" applyBorder="1" applyAlignment="1">
      <alignment vertical="center"/>
    </xf>
    <xf numFmtId="168" fontId="7" fillId="2" borderId="2" xfId="0" applyNumberFormat="1" applyFont="1" applyFill="1" applyBorder="1" applyAlignment="1">
      <alignment horizontal="right" vertical="center"/>
    </xf>
    <xf numFmtId="1" fontId="5" fillId="2" borderId="1" xfId="0" applyNumberFormat="1" applyFont="1" applyFill="1" applyBorder="1" applyAlignment="1">
      <alignment horizontal="left" vertical="center"/>
    </xf>
    <xf numFmtId="0" fontId="5" fillId="2" borderId="1" xfId="0" applyFont="1" applyFill="1" applyBorder="1" applyAlignment="1">
      <alignment vertical="center" wrapText="1"/>
    </xf>
    <xf numFmtId="1" fontId="7" fillId="2" borderId="1" xfId="0" applyNumberFormat="1" applyFont="1" applyFill="1" applyBorder="1" applyAlignment="1">
      <alignment horizontal="right" vertical="center"/>
    </xf>
    <xf numFmtId="0" fontId="20" fillId="2" borderId="1" xfId="0" applyFont="1" applyFill="1" applyBorder="1" applyAlignment="1">
      <alignment vertical="center"/>
    </xf>
    <xf numFmtId="1" fontId="20" fillId="2" borderId="1" xfId="0" applyNumberFormat="1" applyFont="1" applyFill="1" applyBorder="1" applyAlignment="1">
      <alignment horizontal="right" vertical="center"/>
    </xf>
    <xf numFmtId="165" fontId="1" fillId="2" borderId="0" xfId="0" applyNumberFormat="1" applyFont="1" applyFill="1" applyAlignment="1">
      <alignment vertical="center"/>
    </xf>
  </cellXfs>
  <cellStyles count="1">
    <cellStyle name="Normal" xfId="0" builtinId="0"/>
  </cellStyles>
  <dxfs count="15">
    <dxf>
      <font>
        <color rgb="FF16203A"/>
      </font>
      <fill>
        <patternFill>
          <bgColor rgb="FFFFD92E"/>
        </patternFill>
      </fill>
    </dxf>
    <dxf>
      <font>
        <i/>
        <color rgb="FF2346C7"/>
      </font>
    </dxf>
    <dxf>
      <font>
        <color rgb="FF007A5A"/>
      </font>
      <fill>
        <patternFill>
          <bgColor rgb="FFDDF1E8"/>
        </patternFill>
      </fill>
    </dxf>
    <dxf>
      <font>
        <color rgb="FF2346C7"/>
      </font>
      <fill>
        <patternFill>
          <bgColor rgb="FFE7ECFB"/>
        </patternFill>
      </fill>
    </dxf>
    <dxf>
      <font>
        <color rgb="FF3B3F6B"/>
      </font>
      <fill>
        <patternFill>
          <bgColor rgb="FFE4E5F2"/>
        </patternFill>
      </fill>
    </dxf>
    <dxf>
      <font>
        <color rgb="FF8E2A78"/>
      </font>
      <fill>
        <patternFill>
          <bgColor rgb="FFF5E2F0"/>
        </patternFill>
      </fill>
    </dxf>
    <dxf>
      <font>
        <color rgb="FFA64B00"/>
      </font>
      <fill>
        <patternFill>
          <bgColor rgb="FFF9E7D4"/>
        </patternFill>
      </fill>
    </dxf>
    <dxf>
      <font>
        <color rgb="FF555A66"/>
      </font>
      <fill>
        <patternFill>
          <bgColor rgb="FFE8E6DE"/>
        </patternFill>
      </fill>
    </dxf>
    <dxf>
      <font>
        <color rgb="FF8B8878"/>
      </font>
      <fill>
        <patternFill>
          <bgColor rgb="FFF7F2E6"/>
        </patternFill>
      </fill>
    </dxf>
    <dxf>
      <fill>
        <patternFill>
          <bgColor rgb="FFFFD92E"/>
        </patternFill>
      </fill>
    </dxf>
    <dxf>
      <font>
        <b/>
        <color rgb="FFC21F30"/>
      </font>
      <fill>
        <patternFill>
          <bgColor rgb="FFFBE3E2"/>
        </patternFill>
      </fill>
    </dxf>
    <dxf>
      <font>
        <i/>
        <color rgb="FF6C6A61"/>
      </font>
    </dxf>
    <dxf>
      <font>
        <color rgb="FFFFFFFF"/>
      </font>
      <fill>
        <patternFill>
          <bgColor rgb="FFC21F30"/>
        </patternFill>
      </fill>
    </dxf>
    <dxf>
      <fill>
        <patternFill>
          <bgColor rgb="FFFFF1A8"/>
        </patternFill>
      </fill>
    </dxf>
    <dxf>
      <font>
        <color rgb="FFA7A493"/>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autoTitleDeleted val="1"/>
    <c:plotArea>
      <c:layout/>
      <c:barChart>
        <c:barDir val="col"/>
        <c:grouping val="clustered"/>
        <c:ser>
          <c:idx val="0"/>
          <c:order val="0"/>
          <c:tx>
            <c:strRef>
              <c:f>'By month'!$C$5</c:f>
              <c:strCache>
                <c:ptCount val="1"/>
                <c:pt idx="0">
                  <c:v>Money in</c:v>
                </c:pt>
              </c:strCache>
            </c:strRef>
          </c:tx>
          <c:spPr>
            <a:solidFill>
              <a:srgbClr val="007A5A"/>
            </a:solidFill>
            <a:ln w="9525">
              <a:solidFill>
                <a:srgbClr val="007A5A"/>
              </a:solidFill>
            </a:ln>
          </c:spPr>
          <c:cat>
            <c:numRef>
              <c:f>'By month'!$B$6:$B$8</c:f>
              <c:numCache>
                <c:formatCode>General</c:formatCode>
                <c:ptCount val="3"/>
                <c:pt idx="0">
                  <c:v>46235.0</c:v>
                </c:pt>
                <c:pt idx="1">
                  <c:v>46266.0</c:v>
                </c:pt>
                <c:pt idx="2">
                  <c:v>46296.0</c:v>
                </c:pt>
              </c:numCache>
            </c:numRef>
          </c:cat>
          <c:val>
            <c:numRef>
              <c:f>'By month'!$C$6:$C$8</c:f>
              <c:numCache>
                <c:formatCode>General</c:formatCode>
                <c:ptCount val="3"/>
                <c:pt idx="0">
                  <c:v>3280.0</c:v>
                </c:pt>
                <c:pt idx="1">
                  <c:v>5240.0</c:v>
                </c:pt>
                <c:pt idx="2">
                  <c:v>3958.18</c:v>
                </c:pt>
              </c:numCache>
            </c:numRef>
          </c:val>
        </c:ser>
        <c:ser>
          <c:idx val="1"/>
          <c:order val="1"/>
          <c:tx>
            <c:strRef>
              <c:f>'By month'!$D$5</c:f>
              <c:strCache>
                <c:ptCount val="1"/>
                <c:pt idx="0">
                  <c:v>Spending</c:v>
                </c:pt>
              </c:strCache>
            </c:strRef>
          </c:tx>
          <c:spPr>
            <a:solidFill>
              <a:srgbClr val="2346C7"/>
            </a:solidFill>
            <a:ln w="9525">
              <a:solidFill>
                <a:srgbClr val="2346C7"/>
              </a:solidFill>
            </a:ln>
          </c:spPr>
          <c:cat>
            <c:numRef>
              <c:f>'By month'!$B$6:$B$8</c:f>
              <c:numCache>
                <c:formatCode>General</c:formatCode>
                <c:ptCount val="3"/>
                <c:pt idx="0">
                  <c:v>46235.0</c:v>
                </c:pt>
                <c:pt idx="1">
                  <c:v>46266.0</c:v>
                </c:pt>
                <c:pt idx="2">
                  <c:v>46296.0</c:v>
                </c:pt>
              </c:numCache>
            </c:numRef>
          </c:cat>
          <c:val>
            <c:numRef>
              <c:f>'By month'!$D$6:$D$8</c:f>
              <c:numCache>
                <c:formatCode>General</c:formatCode>
                <c:ptCount val="3"/>
                <c:pt idx="0">
                  <c:v>3749.63</c:v>
                </c:pt>
                <c:pt idx="1">
                  <c:v>3511.4599999999996</c:v>
                </c:pt>
                <c:pt idx="2">
                  <c:v>2688.7</c:v>
                </c:pt>
              </c:numCache>
            </c:numRef>
          </c:val>
        </c:ser>
        <c:ser>
          <c:idx val="2"/>
          <c:order val="2"/>
          <c:tx>
            <c:strRef>
              <c:f>'By month'!$J$5</c:f>
              <c:strCache>
                <c:ptCount val="1"/>
                <c:pt idx="0">
                  <c:v>Undecided</c:v>
                </c:pt>
              </c:strCache>
            </c:strRef>
          </c:tx>
          <c:spPr>
            <a:solidFill>
              <a:srgbClr val="FFD92E"/>
            </a:solidFill>
            <a:ln w="9525">
              <a:solidFill>
                <a:srgbClr val="16203A"/>
              </a:solidFill>
            </a:ln>
          </c:spPr>
          <c:cat>
            <c:numRef>
              <c:f>'By month'!$B$6:$B$8</c:f>
              <c:numCache>
                <c:formatCode>General</c:formatCode>
                <c:ptCount val="3"/>
                <c:pt idx="0">
                  <c:v>46235.0</c:v>
                </c:pt>
                <c:pt idx="1">
                  <c:v>46266.0</c:v>
                </c:pt>
                <c:pt idx="2">
                  <c:v>46296.0</c:v>
                </c:pt>
              </c:numCache>
            </c:numRef>
          </c:cat>
          <c:val>
            <c:numRef>
              <c:f>'By month'!$J$6:$J$8</c:f>
              <c:numCache>
                <c:formatCode>General</c:formatCode>
                <c:ptCount val="3"/>
                <c:pt idx="0">
                  <c:v>3560.0</c:v>
                </c:pt>
                <c:pt idx="1">
                  <c:v>1050.5</c:v>
                </c:pt>
                <c:pt idx="2">
                  <c:v>1078.6</c:v>
                </c:pt>
              </c:numCache>
            </c:numRef>
          </c:val>
        </c:ser>
        <c:gapWidth val="90"/>
        <c:overlap val="-6"/>
        <c:axId val="50010001"/>
        <c:axId val="50010002"/>
      </c:barChart>
      <c:catAx>
        <c:axId val="50010001"/>
        <c:scaling>
          <c:orientation val="minMax"/>
        </c:scaling>
        <c:axPos val="b"/>
        <c:numFmt formatCode="mmm yyyy" sourceLinked="0"/>
        <c:tickLblPos val="nextTo"/>
        <c:spPr>
          <a:ln>
            <a:solidFill>
              <a:srgbClr val="CFC7B2"/>
            </a:solidFill>
          </a:ln>
        </c:spPr>
        <c:txPr>
          <a:bodyPr/>
          <a:lstStyle/>
          <a:p>
            <a:pPr>
              <a:defRPr sz="900" baseline="0">
                <a:solidFill>
                  <a:srgbClr val="6C6A61"/>
                </a:solidFill>
                <a:latin typeface="Arial"/>
              </a:defRPr>
            </a:pPr>
            <a:endParaRPr lang="en-US"/>
          </a:p>
        </c:txPr>
        <c:crossAx val="50010002"/>
        <c:crosses val="autoZero"/>
        <c:lblAlgn val="ctr"/>
        <c:lblOffset val="100"/>
      </c:catAx>
      <c:valAx>
        <c:axId val="50010002"/>
        <c:scaling>
          <c:orientation val="minMax"/>
        </c:scaling>
        <c:axPos val="l"/>
        <c:majorGridlines>
          <c:spPr>
            <a:ln w="9525">
              <a:solidFill>
                <a:srgbClr val="E7E0CD"/>
              </a:solidFill>
            </a:ln>
          </c:spPr>
        </c:majorGridlines>
        <c:numFmt formatCode="#,##0" sourceLinked="0"/>
        <c:tickLblPos val="nextTo"/>
        <c:spPr>
          <a:ln>
            <a:noFill/>
          </a:ln>
        </c:spPr>
        <c:txPr>
          <a:bodyPr/>
          <a:lstStyle/>
          <a:p>
            <a:pPr>
              <a:defRPr sz="900" baseline="0">
                <a:solidFill>
                  <a:srgbClr val="6C6A61"/>
                </a:solidFill>
                <a:latin typeface="Arial"/>
              </a:defRPr>
            </a:pPr>
            <a:endParaRPr lang="en-US"/>
          </a:p>
        </c:txPr>
        <c:crossAx val="50010001"/>
        <c:crosses val="autoZero"/>
        <c:crossBetween val="between"/>
      </c:valAx>
      <c:spPr>
        <a:solidFill>
          <a:srgbClr val="F7F2E6"/>
        </a:solidFill>
      </c:spPr>
    </c:plotArea>
    <c:legend>
      <c:legendPos val="t"/>
      <c:layout/>
      <c:txPr>
        <a:bodyPr/>
        <a:lstStyle/>
        <a:p>
          <a:pPr>
            <a:defRPr sz="1000" baseline="0">
              <a:solidFill>
                <a:srgbClr val="16203A"/>
              </a:solidFill>
              <a:latin typeface="Arial"/>
            </a:defRPr>
          </a:pPr>
          <a:endParaRPr lang="en-US"/>
        </a:p>
      </c:txPr>
    </c:legend>
    <c:plotVisOnly val="1"/>
  </c:chart>
  <c:spPr>
    <a:solidFill>
      <a:srgbClr val="F7F2E6"/>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8</xdr:col>
      <xdr:colOff>447675</xdr:colOff>
      <xdr:row>25</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FFD92E"/>
    <pageSetUpPr fitToPage="1"/>
  </sheetPr>
  <dimension ref="A1:AE103"/>
  <sheetViews>
    <sheetView showGridLines="0" tabSelected="1" workbookViewId="0">
      <pane ySplit="8" topLeftCell="A9" activePane="bottomLeft" state="frozen"/>
      <selection pane="bottomLeft"/>
    </sheetView>
  </sheetViews>
  <sheetFormatPr defaultRowHeight="15"/>
  <cols>
    <col min="1" max="1" width="3.28515625" style="1" customWidth="1"/>
    <col min="2" max="2" width="6.7109375" style="1" customWidth="1"/>
    <col min="3" max="3" width="12.7109375" style="1" customWidth="1"/>
    <col min="4" max="4" width="36.7109375" style="1" customWidth="1"/>
    <col min="5" max="5" width="14.7109375" style="1" customWidth="1"/>
    <col min="6" max="6" width="56.7109375" style="1" customWidth="1"/>
    <col min="7" max="7" width="20.7109375" style="1" customWidth="1"/>
    <col min="8" max="8" width="24.7109375" style="1" customWidth="1"/>
    <col min="9" max="9" width="16.7109375" style="1" customWidth="1"/>
    <col min="10" max="10" width="3.28515625" style="1" customWidth="1"/>
    <col min="11" max="31" width="9.7109375" style="1" customWidth="1"/>
  </cols>
  <sheetData>
    <row r="1" spans="2:11">
      <c r="K1" s="2">
        <f>COUNTIF('Detail'!$G$6:$G$77,"Our guess, not checked")</f>
        <v>7.0</v>
      </c>
    </row>
    <row r="2" spans="2:11" s="1" customFormat="1" ht="30" customHeight="1">
      <c r="B2" s="3" t="s">
        <v>164</v>
      </c>
      <c r="K2" s="2">
        <f>'By category'!$E$39</f>
        <v>12478.18</v>
      </c>
    </row>
    <row r="3" spans="2:11">
      <c r="B3" s="4" t="s">
        <v>165</v>
      </c>
      <c r="K3" s="2">
        <f>-'By category'!$E$40</f>
        <v>9949.79</v>
      </c>
    </row>
    <row r="4" spans="2:11">
      <c r="B4" s="5" t="s">
        <v>2</v>
      </c>
    </row>
    <row r="6" spans="2:11" s="1" customFormat="1" ht="62.25" customHeight="1">
      <c r="B6" s="6" t="str">
        <f>IF(ss_fail&gt;0,"Do not use these totals yet. Checks that do not tie to the statement: "&amp;ss_fail&amp;". See the Checks sheet.",IF(ss_undecided_n&gt;0,"Not finished: "&amp;ss_undecided_n&amp;" of "&amp;COUNTA('Detail'!$D$6:$D$77)&amp;" lines, "&amp;"A$"&amp;TEXT(ss_undecided,"#,##0.00")&amp;", still need you.",IF(ss_guess_n&gt;0,"Nothing is waiting, but "&amp;ss_guess_n&amp;" lines, "&amp;"A$"&amp;TEXT(ss_guess,"#,##0.00")&amp;", are our guesses, not checked. Scan them before using these totals.",IF(ss_edits&gt;0,"Every line is answered, but this no longer matches what was read: "&amp;ss_edit_text&amp;". The sums prove nothing about those.",IF(ss_cannot&gt;0,"Every line is answered, but the statement cannot be shown to be complete: a check above does not tie. See the Checks sheet.","Every line is answered and the sums tie to the statement. Tying only means the sums add up, not that a category is right.")))))</f>
        <v>Not finished: 9 of 42 lines, A$5,689.10, still need you.</v>
      </c>
      <c r="C6" s="6"/>
      <c r="D6" s="6"/>
      <c r="E6" s="6"/>
      <c r="F6" s="6"/>
      <c r="G6" s="6"/>
      <c r="H6" s="6"/>
      <c r="I6" s="6"/>
    </row>
    <row r="7" spans="2:11" s="1" customFormat="1" ht="33.75" customHeight="1">
      <c r="B7" s="7" t="str">
        <f>IF(ss_edits&gt;0,"Changed on the sheet since it was read: "&amp;ss_edit_text&amp;" ","")&amp;IF(ss_fail&gt;0,IF(ss_balance_diff="","",IF(ss_balance_diff=0,"","Difference A$"&amp;TEXT(ABS(ss_balance_diff),"#,##0.00")&amp;IF(ss_first_line="","",". First break at line "&amp;ss_first_line&amp;" on Detail, source line "&amp;ss_first_break&amp;".")&amp;" ")),"")&amp;IF(ss_undecided_n=0,"",IF(ss_fail&gt;0,"Not finished: "&amp;ss_undecided_n&amp;" of "&amp;COUNTA('Detail'!$D$6:$D$77)&amp;" lines, "&amp;"A$"&amp;TEXT(ss_undecided,"#,##0.00")&amp;", still need you."&amp;" ","")&amp;"Until then, every total below leaves that money out.")</f>
        <v>Until then, every total below leaves that money out.</v>
      </c>
      <c r="C7" s="8"/>
      <c r="D7" s="8"/>
      <c r="E7" s="8"/>
      <c r="F7" s="8"/>
      <c r="G7" s="8"/>
      <c r="H7" s="8"/>
      <c r="I7" s="8"/>
    </row>
    <row r="8" spans="2:11" s="1" customFormat="1" ht="33.75" customHeight="1">
      <c r="B8" s="9" t="s">
        <v>166</v>
      </c>
      <c r="C8" s="9"/>
      <c r="D8" s="9"/>
      <c r="E8" s="9"/>
      <c r="F8" s="9"/>
      <c r="G8" s="9"/>
      <c r="H8" s="9"/>
      <c r="I8" s="9"/>
    </row>
    <row r="9" spans="2:11">
      <c r="B9" s="10" t="s">
        <v>167</v>
      </c>
      <c r="C9" s="10"/>
      <c r="D9" s="10"/>
      <c r="E9" s="11">
        <f>(SUMIFS('Detail'!$D$6:$D$77,'Detail'!$N$6:$N$77,'By category'!$B$6,'Detail'!$D$6:$D$77,"&gt;0")-SUMIFS('Detail'!$D$6:$D$77,'Detail'!$N$6:$N$77,'By category'!$B$6,'Detail'!$D$6:$D$77,"&lt;0"))</f>
        <v>5689.1</v>
      </c>
      <c r="F9" s="7" t="s">
        <v>174</v>
      </c>
      <c r="G9" s="7"/>
      <c r="H9" s="7"/>
      <c r="I9" s="7"/>
    </row>
    <row r="10" spans="2:11">
      <c r="B10" s="12" t="str">
        <f>"Our guesses, not checked ("&amp;COUNTIF('Detail'!$G$6:$G$77,"Our guess, not checked")&amp;")"</f>
        <v>Our guesses, not checked (7)</v>
      </c>
      <c r="C10" s="13"/>
      <c r="D10" s="13"/>
      <c r="E10" s="11">
        <f>(SUMIFS('Detail'!$D$6:$D$77,'Detail'!$G$6:$G$77,"Our guess, not checked",'Detail'!$D$6:$D$77,"&gt;0")-SUMIFS('Detail'!$D$6:$D$77,'Detail'!$G$6:$G$77,"Our guess, not checked",'Detail'!$D$6:$D$77,"&lt;0"))</f>
        <v>1372.72</v>
      </c>
      <c r="F10" s="7"/>
      <c r="G10" s="7"/>
      <c r="H10" s="7"/>
      <c r="I10" s="7"/>
    </row>
    <row r="11" spans="2:11">
      <c r="B11" s="14" t="s">
        <v>168</v>
      </c>
      <c r="C11" s="14"/>
      <c r="D11" s="14"/>
      <c r="E11" s="11">
        <f>$K$2-E12</f>
        <v>11495.0</v>
      </c>
      <c r="F11" s="7"/>
      <c r="G11" s="7"/>
      <c r="H11" s="7"/>
      <c r="I11" s="7"/>
    </row>
    <row r="12" spans="2:11">
      <c r="B12" s="14" t="s">
        <v>169</v>
      </c>
      <c r="C12" s="14"/>
      <c r="D12" s="14"/>
      <c r="E12" s="11">
        <f>SUMIFS('Detail'!$D$6:$D$77,'Detail'!$N$6:$N$77,'By category'!$B$39,'Detail'!$G$6:$G$77,"Our guess, not checked")</f>
        <v>983.18</v>
      </c>
      <c r="F12" s="7" t="s">
        <v>175</v>
      </c>
      <c r="G12" s="7"/>
      <c r="H12" s="7"/>
      <c r="I12" s="7"/>
    </row>
    <row r="13" spans="2:11">
      <c r="B13" s="13" t="s">
        <v>170</v>
      </c>
      <c r="C13" s="13"/>
      <c r="D13" s="13"/>
      <c r="E13" s="11">
        <f>$K$3-E14</f>
        <v>9560.25</v>
      </c>
      <c r="F13" s="7"/>
      <c r="G13" s="7"/>
      <c r="H13" s="7"/>
      <c r="I13" s="7"/>
    </row>
    <row r="14" spans="2:11">
      <c r="B14" s="13" t="s">
        <v>171</v>
      </c>
      <c r="C14" s="13"/>
      <c r="D14" s="13"/>
      <c r="E14" s="11">
        <f>-SUMIFS('Detail'!$D$6:$D$77,'Detail'!$N$6:$N$77,'By category'!$B$40,'Detail'!$G$6:$G$77,"Our guess, not checked")</f>
        <v>389.54</v>
      </c>
      <c r="F14" s="7"/>
      <c r="G14" s="7"/>
      <c r="H14" s="7"/>
      <c r="I14" s="7"/>
    </row>
    <row r="15" spans="2:11">
      <c r="B15" s="15" t="s">
        <v>121</v>
      </c>
      <c r="C15" s="15"/>
      <c r="D15" s="15"/>
      <c r="E15" s="11">
        <f>-'By category'!$E$41</f>
        <v>1860.0</v>
      </c>
      <c r="F15" s="7"/>
      <c r="G15" s="7"/>
      <c r="H15" s="7"/>
      <c r="I15" s="7"/>
    </row>
    <row r="16" spans="2:11">
      <c r="B16" s="16" t="s">
        <v>48</v>
      </c>
      <c r="C16" s="16"/>
      <c r="D16" s="16"/>
      <c r="E16" s="11">
        <f>-'By category'!$E$42</f>
        <v>186.2</v>
      </c>
      <c r="F16" s="7" t="s">
        <v>176</v>
      </c>
      <c r="G16" s="7"/>
      <c r="H16" s="7"/>
      <c r="I16" s="7"/>
    </row>
    <row r="17" spans="2:9">
      <c r="B17" s="17" t="s">
        <v>122</v>
      </c>
      <c r="C17" s="17"/>
      <c r="D17" s="17"/>
      <c r="E17" s="11">
        <f>-'By category'!$E$43</f>
        <v>4280.0</v>
      </c>
      <c r="F17" s="7"/>
      <c r="G17" s="7"/>
      <c r="H17" s="7"/>
      <c r="I17" s="7"/>
    </row>
    <row r="18" spans="2:9">
      <c r="B18" s="18" t="s">
        <v>43</v>
      </c>
      <c r="C18" s="18"/>
      <c r="D18" s="18"/>
      <c r="E18" s="11">
        <f>'By category'!$E$44</f>
        <v>-2500.0</v>
      </c>
      <c r="F18" s="7"/>
      <c r="G18" s="7"/>
      <c r="H18" s="7"/>
      <c r="I18" s="7"/>
    </row>
    <row r="19" spans="2:9">
      <c r="B19" s="18" t="s">
        <v>102</v>
      </c>
      <c r="C19" s="18"/>
      <c r="D19" s="18"/>
      <c r="E19" s="11">
        <f>'By category'!$E$45</f>
        <v>0.0</v>
      </c>
      <c r="F19" s="7" t="s">
        <v>177</v>
      </c>
      <c r="G19" s="7"/>
      <c r="H19" s="7"/>
      <c r="I19" s="7"/>
    </row>
    <row r="20" spans="2:9">
      <c r="B20" s="13" t="s">
        <v>172</v>
      </c>
      <c r="C20" s="13"/>
      <c r="D20" s="13"/>
      <c r="E20" s="11">
        <f>SUMIFS('Detail'!$D$6:$D$77,'Detail'!$N$6:$N$77,'By category'!$B$40,'Detail'!$D$6:$D$77,"&gt;0")</f>
        <v>120.0</v>
      </c>
      <c r="F20" s="7"/>
      <c r="G20" s="7"/>
      <c r="H20" s="7"/>
      <c r="I20" s="7"/>
    </row>
    <row r="21" spans="2:9">
      <c r="B21" s="19" t="s">
        <v>173</v>
      </c>
      <c r="C21" s="19"/>
      <c r="D21" s="19"/>
      <c r="E21" s="11">
        <f>(SUMIFS('Detail'!$D$6:$D$77,'Detail'!$N$6:$N$77,'By category'!$B$46,'Detail'!$D$6:$D$77,"&gt;0")-SUMIFS('Detail'!$D$6:$D$77,'Detail'!$N$6:$N$77,'By category'!$B$46,'Detail'!$D$6:$D$77,"&lt;0"))</f>
        <v>0.0</v>
      </c>
      <c r="F21" s="7"/>
      <c r="G21" s="7"/>
      <c r="H21" s="7"/>
      <c r="I21" s="7"/>
    </row>
    <row r="23" spans="2:9">
      <c r="B23" s="20" t="s">
        <v>178</v>
      </c>
    </row>
    <row r="24" spans="2:9">
      <c r="B24" s="4" t="s">
        <v>179</v>
      </c>
    </row>
    <row r="25" spans="2:9">
      <c r="B25" s="21" t="s">
        <v>3</v>
      </c>
      <c r="C25" s="21" t="s">
        <v>4</v>
      </c>
      <c r="D25" s="21" t="s">
        <v>5</v>
      </c>
      <c r="E25" s="22" t="s">
        <v>6</v>
      </c>
      <c r="F25" s="21" t="s">
        <v>180</v>
      </c>
      <c r="G25" s="21" t="s">
        <v>11</v>
      </c>
      <c r="H25" s="21" t="s">
        <v>181</v>
      </c>
      <c r="I25" s="21" t="s">
        <v>9</v>
      </c>
    </row>
    <row r="26" spans="2:9" s="1" customFormat="1" ht="18" customHeight="1">
      <c r="B26" s="23">
        <v>6</v>
      </c>
      <c r="C26" s="24">
        <v>46242</v>
      </c>
      <c r="D26" s="25" t="s">
        <v>45</v>
      </c>
      <c r="E26" s="26">
        <v>-300</v>
      </c>
      <c r="F26" s="25" t="s">
        <v>47</v>
      </c>
      <c r="G26" s="27" t="s">
        <v>48</v>
      </c>
      <c r="H26" s="28" t="str">
        <f>INDEX('Detail'!$E$6:$E$77,B26)</f>
        <v>Needs you</v>
      </c>
      <c r="I26" s="29" t="str">
        <f>INDEX('Detail'!$G$6:$G$77,B26)</f>
        <v>Needs you</v>
      </c>
    </row>
    <row r="27" spans="2:9" s="1" customFormat="1" ht="33" customHeight="1">
      <c r="B27" s="23">
        <v>10</v>
      </c>
      <c r="C27" s="24">
        <v>46249</v>
      </c>
      <c r="D27" s="25" t="s">
        <v>58</v>
      </c>
      <c r="E27" s="26">
        <v>1800</v>
      </c>
      <c r="F27" s="25" t="s">
        <v>59</v>
      </c>
      <c r="G27" s="27" t="s">
        <v>34</v>
      </c>
      <c r="H27" s="28" t="str">
        <f>INDEX('Detail'!$E$6:$E$77,B27)</f>
        <v>Needs you</v>
      </c>
      <c r="I27" s="29" t="str">
        <f>INDEX('Detail'!$G$6:$G$77,B27)</f>
        <v>Needs you</v>
      </c>
    </row>
    <row r="28" spans="2:9" s="1" customFormat="1" ht="48" customHeight="1">
      <c r="B28" s="23">
        <v>11</v>
      </c>
      <c r="C28" s="24">
        <v>46253</v>
      </c>
      <c r="D28" s="25" t="s">
        <v>60</v>
      </c>
      <c r="E28" s="26">
        <v>1460</v>
      </c>
      <c r="F28" s="25" t="s">
        <v>61</v>
      </c>
      <c r="G28" s="27" t="s">
        <v>34</v>
      </c>
      <c r="H28" s="28" t="str">
        <f>INDEX('Detail'!$E$6:$E$77,B28)</f>
        <v>Needs you</v>
      </c>
      <c r="I28" s="29" t="str">
        <f>INDEX('Detail'!$G$6:$G$77,B28)</f>
        <v>Needs you</v>
      </c>
    </row>
    <row r="29" spans="2:9" s="1" customFormat="1" ht="33" customHeight="1">
      <c r="B29" s="23">
        <v>21</v>
      </c>
      <c r="C29" s="24">
        <v>46275</v>
      </c>
      <c r="D29" s="25" t="s">
        <v>79</v>
      </c>
      <c r="E29" s="26">
        <v>-950</v>
      </c>
      <c r="F29" s="25" t="s">
        <v>80</v>
      </c>
      <c r="G29" s="27" t="s">
        <v>182</v>
      </c>
      <c r="H29" s="28" t="str">
        <f>INDEX('Detail'!$E$6:$E$77,B29)</f>
        <v>Needs you</v>
      </c>
      <c r="I29" s="29" t="str">
        <f>INDEX('Detail'!$G$6:$G$77,B29)</f>
        <v>Needs you</v>
      </c>
    </row>
    <row r="30" spans="2:9" s="1" customFormat="1" ht="48" customHeight="1">
      <c r="B30" s="23">
        <v>26</v>
      </c>
      <c r="C30" s="24">
        <v>46283</v>
      </c>
      <c r="D30" s="25" t="s">
        <v>85</v>
      </c>
      <c r="E30" s="26">
        <v>-36.5</v>
      </c>
      <c r="F30" s="25" t="s">
        <v>88</v>
      </c>
      <c r="G30" s="27" t="s">
        <v>182</v>
      </c>
      <c r="H30" s="28" t="str">
        <f>INDEX('Detail'!$E$6:$E$77,B30)</f>
        <v>Needs you</v>
      </c>
      <c r="I30" s="29" t="str">
        <f>INDEX('Detail'!$G$6:$G$77,B30)</f>
        <v>Needs you</v>
      </c>
    </row>
    <row r="31" spans="2:9" s="1" customFormat="1" ht="48" customHeight="1">
      <c r="B31" s="23">
        <v>28</v>
      </c>
      <c r="C31" s="24">
        <v>46291</v>
      </c>
      <c r="D31" s="25" t="s">
        <v>92</v>
      </c>
      <c r="E31" s="26">
        <v>64</v>
      </c>
      <c r="F31" s="25" t="s">
        <v>93</v>
      </c>
      <c r="G31" s="27" t="s">
        <v>182</v>
      </c>
      <c r="H31" s="28" t="str">
        <f>INDEX('Detail'!$E$6:$E$77,B31)</f>
        <v>Needs you</v>
      </c>
      <c r="I31" s="29" t="str">
        <f>INDEX('Detail'!$G$6:$G$77,B31)</f>
        <v>Needs you</v>
      </c>
    </row>
    <row r="32" spans="2:9" s="1" customFormat="1" ht="33" customHeight="1">
      <c r="B32" s="23">
        <v>32</v>
      </c>
      <c r="C32" s="24">
        <v>46301</v>
      </c>
      <c r="D32" s="25" t="s">
        <v>95</v>
      </c>
      <c r="E32" s="26">
        <v>-48.6</v>
      </c>
      <c r="F32" s="25" t="s">
        <v>96</v>
      </c>
      <c r="G32" s="27" t="s">
        <v>48</v>
      </c>
      <c r="H32" s="28" t="str">
        <f>INDEX('Detail'!$E$6:$E$77,B32)</f>
        <v>Needs you</v>
      </c>
      <c r="I32" s="29" t="str">
        <f>INDEX('Detail'!$G$6:$G$77,B32)</f>
        <v>Needs you</v>
      </c>
    </row>
    <row r="33" spans="2:9" s="1" customFormat="1" ht="48" customHeight="1">
      <c r="B33" s="23">
        <v>38</v>
      </c>
      <c r="C33" s="24">
        <v>46315</v>
      </c>
      <c r="D33" s="25" t="s">
        <v>100</v>
      </c>
      <c r="E33" s="26">
        <v>-620</v>
      </c>
      <c r="F33" s="25" t="s">
        <v>101</v>
      </c>
      <c r="G33" s="27" t="s">
        <v>102</v>
      </c>
      <c r="H33" s="28" t="str">
        <f>INDEX('Detail'!$E$6:$E$77,B33)</f>
        <v>Needs you</v>
      </c>
      <c r="I33" s="29" t="str">
        <f>INDEX('Detail'!$G$6:$G$77,B33)</f>
        <v>Needs you</v>
      </c>
    </row>
    <row r="34" spans="2:9" s="1" customFormat="1" ht="18" customHeight="1">
      <c r="B34" s="23">
        <v>40</v>
      </c>
      <c r="C34" s="24">
        <v>46322</v>
      </c>
      <c r="D34" s="25" t="s">
        <v>103</v>
      </c>
      <c r="E34" s="26">
        <v>-410</v>
      </c>
      <c r="F34" s="25" t="s">
        <v>104</v>
      </c>
      <c r="G34" s="27" t="s">
        <v>182</v>
      </c>
      <c r="H34" s="28" t="str">
        <f>INDEX('Detail'!$E$6:$E$77,B34)</f>
        <v>Needs you</v>
      </c>
      <c r="I34" s="29" t="str">
        <f>INDEX('Detail'!$G$6:$G$77,B34)</f>
        <v>Needs you</v>
      </c>
    </row>
    <row r="36" spans="2:9">
      <c r="B36" s="20" t="s">
        <v>183</v>
      </c>
    </row>
    <row r="37" spans="2:9">
      <c r="B37" s="21" t="s">
        <v>3</v>
      </c>
      <c r="C37" s="21" t="s">
        <v>4</v>
      </c>
      <c r="D37" s="21" t="s">
        <v>5</v>
      </c>
      <c r="E37" s="22" t="s">
        <v>6</v>
      </c>
      <c r="F37" s="21" t="s">
        <v>180</v>
      </c>
      <c r="G37" s="21" t="s">
        <v>11</v>
      </c>
      <c r="H37" s="21" t="s">
        <v>181</v>
      </c>
      <c r="I37" s="21" t="s">
        <v>9</v>
      </c>
    </row>
    <row r="38" spans="2:9" s="1" customFormat="1" ht="33" customHeight="1">
      <c r="B38" s="23">
        <v>1</v>
      </c>
      <c r="C38" s="24">
        <v>46235</v>
      </c>
      <c r="D38" s="25" t="s">
        <v>28</v>
      </c>
      <c r="E38" s="26">
        <v>-2150</v>
      </c>
      <c r="F38" s="25" t="s">
        <v>30</v>
      </c>
      <c r="G38" s="27" t="s">
        <v>31</v>
      </c>
      <c r="H38" s="28" t="str">
        <f>INDEX('Detail'!$E$6:$E$77,B38)</f>
        <v>Rent</v>
      </c>
      <c r="I38" s="29" t="str">
        <f>INDEX('Detail'!$G$6:$G$77,B38)</f>
        <v>You said</v>
      </c>
    </row>
    <row r="39" spans="2:9" s="1" customFormat="1" ht="18" customHeight="1">
      <c r="B39" s="23">
        <v>2</v>
      </c>
      <c r="C39" s="24">
        <v>46237</v>
      </c>
      <c r="D39" s="25" t="s">
        <v>33</v>
      </c>
      <c r="E39" s="26">
        <v>3280</v>
      </c>
      <c r="F39" s="25" t="s">
        <v>35</v>
      </c>
      <c r="G39" s="27" t="s">
        <v>31</v>
      </c>
      <c r="H39" s="28" t="str">
        <f>INDEX('Detail'!$E$6:$E$77,B39)</f>
        <v>Sales and fees</v>
      </c>
      <c r="I39" s="29" t="str">
        <f>INDEX('Detail'!$G$6:$G$77,B39)</f>
        <v>You said</v>
      </c>
    </row>
    <row r="40" spans="2:9" s="1" customFormat="1" ht="18" customHeight="1">
      <c r="B40" s="23">
        <v>5</v>
      </c>
      <c r="C40" s="24">
        <v>46241</v>
      </c>
      <c r="D40" s="25" t="s">
        <v>42</v>
      </c>
      <c r="E40" s="26">
        <v>-1500</v>
      </c>
      <c r="F40" s="25" t="s">
        <v>44</v>
      </c>
      <c r="G40" s="27" t="s">
        <v>31</v>
      </c>
      <c r="H40" s="28" t="str">
        <f>INDEX('Detail'!$E$6:$E$77,B40)</f>
        <v>Between my accounts</v>
      </c>
      <c r="I40" s="29" t="str">
        <f>INDEX('Detail'!$G$6:$G$77,B40)</f>
        <v>You said</v>
      </c>
    </row>
    <row r="41" spans="2:9" s="1" customFormat="1" ht="33" customHeight="1">
      <c r="B41" s="23">
        <v>15</v>
      </c>
      <c r="C41" s="24">
        <v>46266</v>
      </c>
      <c r="D41" s="25" t="s">
        <v>71</v>
      </c>
      <c r="E41" s="26">
        <v>-2150</v>
      </c>
      <c r="F41" s="25" t="s">
        <v>30</v>
      </c>
      <c r="G41" s="27" t="s">
        <v>31</v>
      </c>
      <c r="H41" s="28" t="str">
        <f>INDEX('Detail'!$E$6:$E$77,B41)</f>
        <v>Rent</v>
      </c>
      <c r="I41" s="29" t="str">
        <f>INDEX('Detail'!$G$6:$G$77,B41)</f>
        <v>You said</v>
      </c>
    </row>
    <row r="42" spans="2:9" s="1" customFormat="1" ht="18" customHeight="1">
      <c r="B42" s="23">
        <v>18</v>
      </c>
      <c r="C42" s="24">
        <v>46269</v>
      </c>
      <c r="D42" s="25" t="s">
        <v>74</v>
      </c>
      <c r="E42" s="26">
        <v>5240</v>
      </c>
      <c r="F42" s="25" t="s">
        <v>75</v>
      </c>
      <c r="G42" s="27" t="s">
        <v>31</v>
      </c>
      <c r="H42" s="28" t="str">
        <f>INDEX('Detail'!$E$6:$E$77,B42)</f>
        <v>Sales and fees</v>
      </c>
      <c r="I42" s="29" t="str">
        <f>INDEX('Detail'!$G$6:$G$77,B42)</f>
        <v>You said</v>
      </c>
    </row>
    <row r="43" spans="2:9" s="1" customFormat="1" ht="18" customHeight="1">
      <c r="B43" s="23">
        <v>19</v>
      </c>
      <c r="C43" s="24">
        <v>46270</v>
      </c>
      <c r="D43" s="25" t="s">
        <v>76</v>
      </c>
      <c r="E43" s="26">
        <v>-4280</v>
      </c>
      <c r="F43" s="25" t="s">
        <v>78</v>
      </c>
      <c r="G43" s="27" t="s">
        <v>31</v>
      </c>
      <c r="H43" s="28" t="str">
        <f>INDEX('Detail'!$E$6:$E$77,B43)</f>
        <v>Large purchase</v>
      </c>
      <c r="I43" s="29" t="str">
        <f>INDEX('Detail'!$G$6:$G$77,B43)</f>
        <v>You said</v>
      </c>
    </row>
    <row r="44" spans="2:9" s="1" customFormat="1" ht="18" customHeight="1">
      <c r="B44" s="23">
        <v>27</v>
      </c>
      <c r="C44" s="24">
        <v>46287</v>
      </c>
      <c r="D44" s="25" t="s">
        <v>89</v>
      </c>
      <c r="E44" s="26">
        <v>-1860</v>
      </c>
      <c r="F44" s="25" t="s">
        <v>91</v>
      </c>
      <c r="G44" s="27" t="s">
        <v>31</v>
      </c>
      <c r="H44" s="28" t="str">
        <f>INDEX('Detail'!$E$6:$E$77,B44)</f>
        <v>Tax and government payments</v>
      </c>
      <c r="I44" s="29" t="str">
        <f>INDEX('Detail'!$G$6:$G$77,B44)</f>
        <v>You said</v>
      </c>
    </row>
    <row r="45" spans="2:9" s="1" customFormat="1" ht="33" customHeight="1">
      <c r="B45" s="23">
        <v>30</v>
      </c>
      <c r="C45" s="24">
        <v>46296</v>
      </c>
      <c r="D45" s="25" t="s">
        <v>71</v>
      </c>
      <c r="E45" s="26">
        <v>-2150</v>
      </c>
      <c r="F45" s="25" t="s">
        <v>30</v>
      </c>
      <c r="G45" s="27" t="s">
        <v>31</v>
      </c>
      <c r="H45" s="28" t="str">
        <f>INDEX('Detail'!$E$6:$E$77,B45)</f>
        <v>Rent</v>
      </c>
      <c r="I45" s="29" t="str">
        <f>INDEX('Detail'!$G$6:$G$77,B45)</f>
        <v>You said</v>
      </c>
    </row>
    <row r="46" spans="2:9" s="1" customFormat="1" ht="18" customHeight="1">
      <c r="B46" s="23">
        <v>31</v>
      </c>
      <c r="C46" s="24">
        <v>46297</v>
      </c>
      <c r="D46" s="25" t="s">
        <v>94</v>
      </c>
      <c r="E46" s="26">
        <v>2975</v>
      </c>
      <c r="F46" s="25" t="s">
        <v>35</v>
      </c>
      <c r="G46" s="27" t="s">
        <v>31</v>
      </c>
      <c r="H46" s="28" t="str">
        <f>INDEX('Detail'!$E$6:$E$77,B46)</f>
        <v>Sales and fees</v>
      </c>
      <c r="I46" s="29" t="str">
        <f>INDEX('Detail'!$G$6:$G$77,B46)</f>
        <v>You said</v>
      </c>
    </row>
    <row r="47" spans="2:9" s="1" customFormat="1" ht="18" customHeight="1">
      <c r="B47" s="23">
        <v>34</v>
      </c>
      <c r="C47" s="24">
        <v>46304</v>
      </c>
      <c r="D47" s="25" t="s">
        <v>42</v>
      </c>
      <c r="E47" s="26">
        <v>-1000</v>
      </c>
      <c r="F47" s="25" t="s">
        <v>44</v>
      </c>
      <c r="G47" s="27" t="s">
        <v>31</v>
      </c>
      <c r="H47" s="28" t="str">
        <f>INDEX('Detail'!$E$6:$E$77,B47)</f>
        <v>Between my accounts</v>
      </c>
      <c r="I47" s="29" t="str">
        <f>INDEX('Detail'!$G$6:$G$77,B47)</f>
        <v>You said</v>
      </c>
    </row>
    <row r="49" spans="2:9">
      <c r="B49" s="20" t="s">
        <v>184</v>
      </c>
    </row>
    <row r="50" spans="2:9">
      <c r="B50" s="4" t="s">
        <v>185</v>
      </c>
    </row>
    <row r="51" spans="2:9">
      <c r="B51" s="21" t="s">
        <v>3</v>
      </c>
      <c r="C51" s="21" t="s">
        <v>4</v>
      </c>
      <c r="D51" s="21" t="s">
        <v>5</v>
      </c>
      <c r="E51" s="22" t="s">
        <v>6</v>
      </c>
      <c r="F51" s="21" t="s">
        <v>180</v>
      </c>
      <c r="G51" s="21" t="s">
        <v>11</v>
      </c>
      <c r="H51" s="21" t="s">
        <v>181</v>
      </c>
      <c r="I51" s="21" t="s">
        <v>9</v>
      </c>
    </row>
    <row r="52" spans="2:9" s="1" customFormat="1" ht="18" customHeight="1">
      <c r="B52" s="23">
        <v>8</v>
      </c>
      <c r="C52" s="24">
        <v>46246</v>
      </c>
      <c r="D52" s="25" t="s">
        <v>51</v>
      </c>
      <c r="E52" s="26">
        <v>-42.18</v>
      </c>
      <c r="F52" s="25" t="s">
        <v>53</v>
      </c>
      <c r="G52" s="27" t="s">
        <v>31</v>
      </c>
      <c r="H52" s="28" t="str">
        <f>INDEX('Detail'!$E$6:$E$77,B52)</f>
        <v>Bank and payment fees</v>
      </c>
      <c r="I52" s="29" t="str">
        <f>INDEX('Detail'!$G$6:$G$77,B52)</f>
        <v>Our guess, not checked</v>
      </c>
    </row>
    <row r="53" spans="2:9" s="1" customFormat="1" ht="18" customHeight="1">
      <c r="B53" s="23">
        <v>22</v>
      </c>
      <c r="C53" s="24">
        <v>46277</v>
      </c>
      <c r="D53" s="25" t="s">
        <v>81</v>
      </c>
      <c r="E53" s="26">
        <v>-39.66</v>
      </c>
      <c r="F53" s="25" t="s">
        <v>53</v>
      </c>
      <c r="G53" s="27" t="s">
        <v>31</v>
      </c>
      <c r="H53" s="28" t="str">
        <f>INDEX('Detail'!$E$6:$E$77,B53)</f>
        <v>Bank and payment fees</v>
      </c>
      <c r="I53" s="29" t="str">
        <f>INDEX('Detail'!$G$6:$G$77,B53)</f>
        <v>Our guess, not checked</v>
      </c>
    </row>
    <row r="54" spans="2:9" s="1" customFormat="1" ht="18" customHeight="1">
      <c r="B54" s="23">
        <v>23</v>
      </c>
      <c r="C54" s="24">
        <v>46277</v>
      </c>
      <c r="D54" s="25" t="s">
        <v>82</v>
      </c>
      <c r="E54" s="26">
        <v>-220</v>
      </c>
      <c r="F54" s="25" t="s">
        <v>84</v>
      </c>
      <c r="G54" s="27" t="s">
        <v>31</v>
      </c>
      <c r="H54" s="28" t="str">
        <f>INDEX('Detail'!$E$6:$E$77,B54)</f>
        <v>Accountant and legal</v>
      </c>
      <c r="I54" s="29" t="str">
        <f>INDEX('Detail'!$G$6:$G$77,B54)</f>
        <v>Our guess, not checked</v>
      </c>
    </row>
    <row r="55" spans="2:9" s="1" customFormat="1" ht="18" customHeight="1">
      <c r="B55" s="23">
        <v>25</v>
      </c>
      <c r="C55" s="24">
        <v>46283</v>
      </c>
      <c r="D55" s="25" t="s">
        <v>85</v>
      </c>
      <c r="E55" s="26">
        <v>-36.5</v>
      </c>
      <c r="F55" s="25" t="s">
        <v>87</v>
      </c>
      <c r="G55" s="27" t="s">
        <v>31</v>
      </c>
      <c r="H55" s="28" t="str">
        <f>INDEX('Detail'!$E$6:$E$77,B55)</f>
        <v>Office supplies</v>
      </c>
      <c r="I55" s="29" t="str">
        <f>INDEX('Detail'!$G$6:$G$77,B55)</f>
        <v>Our guess, not checked</v>
      </c>
    </row>
    <row r="56" spans="2:9" s="1" customFormat="1" ht="18" customHeight="1">
      <c r="B56" s="23">
        <v>35</v>
      </c>
      <c r="C56" s="24">
        <v>46307</v>
      </c>
      <c r="D56" s="25" t="s">
        <v>97</v>
      </c>
      <c r="E56" s="26">
        <v>-51.2</v>
      </c>
      <c r="F56" s="25" t="s">
        <v>53</v>
      </c>
      <c r="G56" s="27" t="s">
        <v>31</v>
      </c>
      <c r="H56" s="28" t="str">
        <f>INDEX('Detail'!$E$6:$E$77,B56)</f>
        <v>Bank and payment fees</v>
      </c>
      <c r="I56" s="29" t="str">
        <f>INDEX('Detail'!$G$6:$G$77,B56)</f>
        <v>Our guess, not checked</v>
      </c>
    </row>
    <row r="57" spans="2:9" s="1" customFormat="1" ht="18" customHeight="1">
      <c r="B57" s="23">
        <v>37</v>
      </c>
      <c r="C57" s="24">
        <v>46310</v>
      </c>
      <c r="D57" s="25" t="s">
        <v>98</v>
      </c>
      <c r="E57" s="26">
        <v>980</v>
      </c>
      <c r="F57" s="25" t="s">
        <v>99</v>
      </c>
      <c r="G57" s="27" t="s">
        <v>31</v>
      </c>
      <c r="H57" s="28" t="str">
        <f>INDEX('Detail'!$E$6:$E$77,B57)</f>
        <v>Sales and fees</v>
      </c>
      <c r="I57" s="29" t="str">
        <f>INDEX('Detail'!$G$6:$G$77,B57)</f>
        <v>Our guess, not checked</v>
      </c>
    </row>
    <row r="58" spans="2:9" s="1" customFormat="1" ht="18" customHeight="1">
      <c r="B58" s="23">
        <v>42</v>
      </c>
      <c r="C58" s="24">
        <v>46325</v>
      </c>
      <c r="D58" s="25" t="s">
        <v>105</v>
      </c>
      <c r="E58" s="26">
        <v>3.18</v>
      </c>
      <c r="F58" s="25" t="s">
        <v>107</v>
      </c>
      <c r="G58" s="27" t="s">
        <v>31</v>
      </c>
      <c r="H58" s="28" t="str">
        <f>INDEX('Detail'!$E$6:$E$77,B58)</f>
        <v>Interest received</v>
      </c>
      <c r="I58" s="29" t="str">
        <f>INDEX('Detail'!$G$6:$G$77,B58)</f>
        <v>Our guess, not checked</v>
      </c>
    </row>
    <row r="60" spans="2:9">
      <c r="B60" s="20" t="s">
        <v>186</v>
      </c>
    </row>
    <row r="61" spans="2:9">
      <c r="B61" s="30" t="s">
        <v>3</v>
      </c>
      <c r="C61" s="30" t="s">
        <v>187</v>
      </c>
      <c r="D61" s="30" t="s">
        <v>188</v>
      </c>
      <c r="E61" s="22" t="s">
        <v>6</v>
      </c>
    </row>
    <row r="62" spans="2:9">
      <c r="B62" s="31" t="s">
        <v>189</v>
      </c>
      <c r="C62" s="31"/>
      <c r="D62" s="31"/>
      <c r="E62" s="32">
        <v>-117</v>
      </c>
    </row>
    <row r="63" spans="2:9">
      <c r="B63" s="33">
        <v>14</v>
      </c>
      <c r="C63" s="34">
        <v>21</v>
      </c>
      <c r="D63" s="1" t="s">
        <v>68</v>
      </c>
      <c r="E63" s="35">
        <v>-39</v>
      </c>
    </row>
    <row r="64" spans="2:9">
      <c r="B64" s="33">
        <v>29</v>
      </c>
      <c r="C64" s="34">
        <v>39</v>
      </c>
      <c r="D64" s="1" t="s">
        <v>68</v>
      </c>
      <c r="E64" s="35">
        <v>-39</v>
      </c>
    </row>
    <row r="65" spans="2:5">
      <c r="B65" s="33">
        <v>41</v>
      </c>
      <c r="C65" s="34">
        <v>54</v>
      </c>
      <c r="D65" s="1" t="s">
        <v>68</v>
      </c>
      <c r="E65" s="35">
        <v>-39</v>
      </c>
    </row>
    <row r="66" spans="2:5">
      <c r="B66" s="31" t="s">
        <v>190</v>
      </c>
      <c r="C66" s="31"/>
      <c r="D66" s="31"/>
      <c r="E66" s="32">
        <v>-186.2</v>
      </c>
    </row>
    <row r="67" spans="2:5">
      <c r="B67" s="33">
        <v>7</v>
      </c>
      <c r="C67" s="34">
        <v>14</v>
      </c>
      <c r="D67" s="1" t="s">
        <v>49</v>
      </c>
      <c r="E67" s="35">
        <v>-186.2</v>
      </c>
    </row>
    <row r="68" spans="2:5">
      <c r="B68" s="31" t="s">
        <v>191</v>
      </c>
      <c r="C68" s="31"/>
      <c r="D68" s="31"/>
      <c r="E68" s="32">
        <v>-4280</v>
      </c>
    </row>
    <row r="69" spans="2:5">
      <c r="B69" s="33">
        <v>19</v>
      </c>
      <c r="C69" s="34">
        <v>29</v>
      </c>
      <c r="D69" s="1" t="s">
        <v>76</v>
      </c>
      <c r="E69" s="35">
        <v>-4280</v>
      </c>
    </row>
    <row r="70" spans="2:5">
      <c r="B70" s="31" t="s">
        <v>192</v>
      </c>
      <c r="C70" s="31"/>
      <c r="D70" s="31"/>
      <c r="E70" s="32">
        <v>-6450</v>
      </c>
    </row>
    <row r="71" spans="2:5">
      <c r="B71" s="33">
        <v>1</v>
      </c>
      <c r="C71" s="34">
        <v>6</v>
      </c>
      <c r="D71" s="1" t="s">
        <v>28</v>
      </c>
      <c r="E71" s="35">
        <v>-2150</v>
      </c>
    </row>
    <row r="72" spans="2:5">
      <c r="B72" s="33">
        <v>15</v>
      </c>
      <c r="C72" s="34">
        <v>25</v>
      </c>
      <c r="D72" s="1" t="s">
        <v>71</v>
      </c>
      <c r="E72" s="35">
        <v>-2150</v>
      </c>
    </row>
    <row r="73" spans="2:5">
      <c r="B73" s="33">
        <v>30</v>
      </c>
      <c r="C73" s="34">
        <v>43</v>
      </c>
      <c r="D73" s="1" t="s">
        <v>71</v>
      </c>
      <c r="E73" s="35">
        <v>-2150</v>
      </c>
    </row>
    <row r="74" spans="2:5">
      <c r="B74" s="31" t="s">
        <v>193</v>
      </c>
      <c r="C74" s="31"/>
      <c r="D74" s="31"/>
      <c r="E74" s="32">
        <v>-915.35</v>
      </c>
    </row>
    <row r="75" spans="2:5">
      <c r="B75" s="33">
        <v>4</v>
      </c>
      <c r="C75" s="34">
        <v>11</v>
      </c>
      <c r="D75" s="1" t="s">
        <v>39</v>
      </c>
      <c r="E75" s="35">
        <v>-318.75</v>
      </c>
    </row>
    <row r="76" spans="2:5">
      <c r="B76" s="33">
        <v>20</v>
      </c>
      <c r="C76" s="34">
        <v>30</v>
      </c>
      <c r="D76" s="1" t="s">
        <v>39</v>
      </c>
      <c r="E76" s="35">
        <v>-301.2</v>
      </c>
    </row>
    <row r="77" spans="2:5">
      <c r="B77" s="33">
        <v>33</v>
      </c>
      <c r="C77" s="34">
        <v>46</v>
      </c>
      <c r="D77" s="1" t="s">
        <v>39</v>
      </c>
      <c r="E77" s="35">
        <v>-295.4</v>
      </c>
    </row>
    <row r="78" spans="2:5">
      <c r="B78" s="31" t="s">
        <v>194</v>
      </c>
      <c r="C78" s="31"/>
      <c r="D78" s="31"/>
      <c r="E78" s="32">
        <v>-195</v>
      </c>
    </row>
    <row r="79" spans="2:5">
      <c r="B79" s="33">
        <v>9</v>
      </c>
      <c r="C79" s="34">
        <v>16</v>
      </c>
      <c r="D79" s="1" t="s">
        <v>55</v>
      </c>
      <c r="E79" s="35">
        <v>-65</v>
      </c>
    </row>
    <row r="80" spans="2:5">
      <c r="B80" s="33">
        <v>24</v>
      </c>
      <c r="C80" s="34">
        <v>34</v>
      </c>
      <c r="D80" s="1" t="s">
        <v>55</v>
      </c>
      <c r="E80" s="35">
        <v>-65</v>
      </c>
    </row>
    <row r="81" spans="2:5">
      <c r="B81" s="33">
        <v>36</v>
      </c>
      <c r="C81" s="34">
        <v>49</v>
      </c>
      <c r="D81" s="1" t="s">
        <v>55</v>
      </c>
      <c r="E81" s="35">
        <v>-65</v>
      </c>
    </row>
    <row r="82" spans="2:5">
      <c r="B82" s="31" t="s">
        <v>195</v>
      </c>
      <c r="C82" s="31"/>
      <c r="D82" s="31"/>
      <c r="E82" s="32">
        <v>-1272.5</v>
      </c>
    </row>
    <row r="83" spans="2:5">
      <c r="B83" s="33">
        <v>3</v>
      </c>
      <c r="C83" s="34">
        <v>9</v>
      </c>
      <c r="D83" s="1" t="s">
        <v>36</v>
      </c>
      <c r="E83" s="35">
        <v>-612.4</v>
      </c>
    </row>
    <row r="84" spans="2:5">
      <c r="B84" s="33">
        <v>16</v>
      </c>
      <c r="C84" s="34">
        <v>26</v>
      </c>
      <c r="D84" s="1" t="s">
        <v>72</v>
      </c>
      <c r="E84" s="35">
        <v>-780.1</v>
      </c>
    </row>
    <row r="85" spans="2:5">
      <c r="B85" s="33">
        <v>17</v>
      </c>
      <c r="C85" s="34">
        <v>27</v>
      </c>
      <c r="D85" s="1" t="s">
        <v>73</v>
      </c>
      <c r="E85" s="35">
        <v>120</v>
      </c>
    </row>
    <row r="86" spans="2:5">
      <c r="B86" s="31" t="s">
        <v>196</v>
      </c>
      <c r="C86" s="31"/>
      <c r="D86" s="31"/>
      <c r="E86" s="32">
        <v>-182.4</v>
      </c>
    </row>
    <row r="87" spans="2:5">
      <c r="B87" s="33">
        <v>12</v>
      </c>
      <c r="C87" s="34">
        <v>19</v>
      </c>
      <c r="D87" s="1" t="s">
        <v>62</v>
      </c>
      <c r="E87" s="35">
        <v>-94.3</v>
      </c>
    </row>
    <row r="88" spans="2:5">
      <c r="B88" s="33">
        <v>39</v>
      </c>
      <c r="C88" s="34">
        <v>52</v>
      </c>
      <c r="D88" s="1" t="s">
        <v>62</v>
      </c>
      <c r="E88" s="35">
        <v>-88.09999999999999</v>
      </c>
    </row>
    <row r="89" spans="2:5">
      <c r="B89" s="31" t="s">
        <v>197</v>
      </c>
      <c r="C89" s="31"/>
      <c r="D89" s="31"/>
      <c r="E89" s="32">
        <v>-428</v>
      </c>
    </row>
    <row r="90" spans="2:5">
      <c r="B90" s="33">
        <v>13</v>
      </c>
      <c r="C90" s="34">
        <v>20</v>
      </c>
      <c r="D90" s="1" t="s">
        <v>65</v>
      </c>
      <c r="E90" s="35">
        <v>-428</v>
      </c>
    </row>
    <row r="91" spans="2:5">
      <c r="B91" s="31" t="s">
        <v>198</v>
      </c>
      <c r="C91" s="31"/>
      <c r="D91" s="31"/>
      <c r="E91" s="32">
        <v>-1860</v>
      </c>
    </row>
    <row r="92" spans="2:5">
      <c r="B92" s="33">
        <v>27</v>
      </c>
      <c r="C92" s="34">
        <v>37</v>
      </c>
      <c r="D92" s="1" t="s">
        <v>89</v>
      </c>
      <c r="E92" s="35">
        <v>-1860</v>
      </c>
    </row>
    <row r="93" spans="2:5">
      <c r="B93" s="31" t="s">
        <v>199</v>
      </c>
      <c r="C93" s="31"/>
      <c r="D93" s="31"/>
      <c r="E93" s="32">
        <v>6255</v>
      </c>
    </row>
    <row r="94" spans="2:5">
      <c r="B94" s="33">
        <v>2</v>
      </c>
      <c r="C94" s="34">
        <v>8</v>
      </c>
      <c r="D94" s="1" t="s">
        <v>33</v>
      </c>
      <c r="E94" s="35">
        <v>3280</v>
      </c>
    </row>
    <row r="95" spans="2:5">
      <c r="B95" s="33">
        <v>31</v>
      </c>
      <c r="C95" s="34">
        <v>44</v>
      </c>
      <c r="D95" s="1" t="s">
        <v>94</v>
      </c>
      <c r="E95" s="35">
        <v>2975</v>
      </c>
    </row>
    <row r="96" spans="2:5">
      <c r="B96" s="31" t="s">
        <v>200</v>
      </c>
      <c r="C96" s="31"/>
      <c r="D96" s="31"/>
      <c r="E96" s="32">
        <v>5240</v>
      </c>
    </row>
    <row r="97" spans="2:9">
      <c r="B97" s="33">
        <v>18</v>
      </c>
      <c r="C97" s="34">
        <v>28</v>
      </c>
      <c r="D97" s="1" t="s">
        <v>74</v>
      </c>
      <c r="E97" s="35">
        <v>5240</v>
      </c>
    </row>
    <row r="98" spans="2:9">
      <c r="B98" s="31" t="s">
        <v>201</v>
      </c>
      <c r="C98" s="31"/>
      <c r="D98" s="31"/>
      <c r="E98" s="32">
        <v>-2500</v>
      </c>
    </row>
    <row r="99" spans="2:9">
      <c r="B99" s="33">
        <v>5</v>
      </c>
      <c r="C99" s="34">
        <v>12</v>
      </c>
      <c r="D99" s="1" t="s">
        <v>42</v>
      </c>
      <c r="E99" s="35">
        <v>-1500</v>
      </c>
    </row>
    <row r="100" spans="2:9">
      <c r="B100" s="33">
        <v>34</v>
      </c>
      <c r="C100" s="34">
        <v>47</v>
      </c>
      <c r="D100" s="1" t="s">
        <v>42</v>
      </c>
      <c r="E100" s="35">
        <v>-1000</v>
      </c>
    </row>
    <row r="102" spans="2:9">
      <c r="B102" s="20" t="s">
        <v>202</v>
      </c>
    </row>
    <row r="103" spans="2:9" s="1" customFormat="1" ht="18" customHeight="1">
      <c r="B103" s="9" t="s">
        <v>203</v>
      </c>
      <c r="C103" s="9"/>
      <c r="D103" s="9"/>
      <c r="E103" s="9"/>
      <c r="F103" s="9"/>
      <c r="G103" s="9"/>
      <c r="H103" s="9"/>
      <c r="I103" s="9"/>
    </row>
  </sheetData>
  <mergeCells count="34">
    <mergeCell ref="B6:I6"/>
    <mergeCell ref="B7:I7"/>
    <mergeCell ref="B8:I8"/>
    <mergeCell ref="B9:D9"/>
    <mergeCell ref="B10:D10"/>
    <mergeCell ref="B11:D11"/>
    <mergeCell ref="B12:D12"/>
    <mergeCell ref="B13:D13"/>
    <mergeCell ref="B14:D14"/>
    <mergeCell ref="B15:D15"/>
    <mergeCell ref="B16:D16"/>
    <mergeCell ref="B17:D17"/>
    <mergeCell ref="B18:D18"/>
    <mergeCell ref="B19:D19"/>
    <mergeCell ref="B20:D20"/>
    <mergeCell ref="B21:D21"/>
    <mergeCell ref="F9:I11"/>
    <mergeCell ref="F12:I15"/>
    <mergeCell ref="F16:I18"/>
    <mergeCell ref="F19:I21"/>
    <mergeCell ref="B62:D62"/>
    <mergeCell ref="B66:D66"/>
    <mergeCell ref="B68:D68"/>
    <mergeCell ref="B70:D70"/>
    <mergeCell ref="B74:D74"/>
    <mergeCell ref="B78:D78"/>
    <mergeCell ref="B82:D82"/>
    <mergeCell ref="B86:D86"/>
    <mergeCell ref="B89:D89"/>
    <mergeCell ref="B91:D91"/>
    <mergeCell ref="B93:D93"/>
    <mergeCell ref="B96:D96"/>
    <mergeCell ref="B98:D98"/>
    <mergeCell ref="B103:I103"/>
  </mergeCells>
  <conditionalFormatting sqref="B6:I6">
    <cfRule type="expression" dxfId="12" priority="1">
      <formula>ss_fail&gt;0</formula>
    </cfRule>
    <cfRule type="expression" dxfId="0" priority="2">
      <formula>AND(ss_fail=0,ss_undecided_n&gt;0)</formula>
    </cfRule>
    <cfRule type="expression" dxfId="2" priority="3">
      <formula>AND(ss_fail=0,ss_undecided_n=0,ss_guess_n=0,ss_cannot=0,ss_edits=0)</formula>
    </cfRule>
  </conditionalFormatting>
  <conditionalFormatting sqref="B9:E9">
    <cfRule type="expression" dxfId="9" priority="4">
      <formula>ss_undecided_n&gt;0</formula>
    </cfRule>
  </conditionalFormatting>
  <conditionalFormatting sqref="B26:I34">
    <cfRule type="expression" dxfId="13" priority="5">
      <formula>$I26="Needs you"</formula>
    </cfRule>
    <cfRule type="expression" dxfId="14" priority="6">
      <formula>$I26="You decided"</formula>
    </cfRule>
  </conditionalFormatting>
  <conditionalFormatting sqref="B38:I47">
    <cfRule type="expression" dxfId="13" priority="7">
      <formula>$I38="Needs you"</formula>
    </cfRule>
    <cfRule type="expression" dxfId="14" priority="8">
      <formula>$I38="You decided"</formula>
    </cfRule>
  </conditionalFormatting>
  <conditionalFormatting sqref="B52:I58">
    <cfRule type="expression" dxfId="13" priority="9">
      <formula>$I52="Needs you"</formula>
    </cfRule>
    <cfRule type="expression" dxfId="14" priority="10">
      <formula>$I52="You decided"</formula>
    </cfRule>
  </conditionalFormatting>
  <pageMargins left="0.4" right="0.4" top="0.45" bottom="0.45" header="0.3" footer="0.3"/>
  <pageSetup paperSize="9" fitToHeight="0" orientation="landscape"/>
</worksheet>
</file>

<file path=xl/worksheets/sheet2.xml><?xml version="1.0" encoding="utf-8"?>
<worksheet xmlns="http://schemas.openxmlformats.org/spreadsheetml/2006/main" xmlns:r="http://schemas.openxmlformats.org/officeDocument/2006/relationships">
  <sheetPr>
    <tabColor rgb="FF2346C7"/>
    <pageSetUpPr fitToPage="1"/>
  </sheetPr>
  <dimension ref="A2:AE77"/>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6.7109375" style="1" customWidth="1"/>
    <col min="2" max="2" width="12.7109375" style="1" customWidth="1"/>
    <col min="3" max="3" width="44.7109375" style="1" customWidth="1"/>
    <col min="4" max="4" width="13.7109375" style="1" customWidth="1"/>
    <col min="5" max="5" width="28.7109375" style="1" customWidth="1"/>
    <col min="6" max="6" width="9.7109375" style="1" customWidth="1"/>
    <col min="7" max="7" width="22.7109375" style="1" customWidth="1"/>
    <col min="8" max="8" width="62.7109375" style="1" customWidth="1"/>
    <col min="9" max="9" width="24.7109375" style="1" customWidth="1"/>
    <col min="10" max="10" width="13.7109375" style="1" customWidth="1"/>
    <col min="11" max="11" width="8.7109375" style="1" customWidth="1"/>
    <col min="12" max="12" width="12.7109375" style="1" customWidth="1"/>
    <col min="13" max="25" width="10.7109375" style="1" hidden="1" customWidth="1"/>
    <col min="26" max="31" width="9.7109375" style="1" customWidth="1"/>
  </cols>
  <sheetData>
    <row r="2" spans="1:25" s="1" customFormat="1" ht="27.75" customHeight="1">
      <c r="A2" s="36" t="s">
        <v>0</v>
      </c>
    </row>
    <row r="3" spans="1:25">
      <c r="A3" s="4" t="s">
        <v>1</v>
      </c>
    </row>
    <row r="4" spans="1:25">
      <c r="A4" s="5" t="s">
        <v>2</v>
      </c>
    </row>
    <row r="5" spans="1:25" s="1" customFormat="1" ht="44.25" customHeight="1">
      <c r="A5" s="37" t="s">
        <v>3</v>
      </c>
      <c r="B5" s="37" t="s">
        <v>4</v>
      </c>
      <c r="C5" s="37" t="s">
        <v>5</v>
      </c>
      <c r="D5" s="37" t="s">
        <v>6</v>
      </c>
      <c r="E5" s="37" t="s">
        <v>7</v>
      </c>
      <c r="F5" s="37" t="s">
        <v>8</v>
      </c>
      <c r="G5" s="37" t="s">
        <v>9</v>
      </c>
      <c r="H5" s="37" t="s">
        <v>10</v>
      </c>
      <c r="I5" s="37" t="s">
        <v>11</v>
      </c>
      <c r="J5" s="37" t="s">
        <v>12</v>
      </c>
      <c r="K5" s="37" t="s">
        <v>13</v>
      </c>
      <c r="L5" s="37" t="s">
        <v>14</v>
      </c>
      <c r="M5" s="37" t="s">
        <v>15</v>
      </c>
      <c r="N5" s="37" t="s">
        <v>16</v>
      </c>
      <c r="O5" s="37" t="s">
        <v>17</v>
      </c>
      <c r="P5" s="37" t="s">
        <v>18</v>
      </c>
      <c r="Q5" s="37" t="s">
        <v>19</v>
      </c>
      <c r="R5" s="37" t="s">
        <v>20</v>
      </c>
      <c r="S5" s="37" t="s">
        <v>21</v>
      </c>
      <c r="T5" s="37" t="s">
        <v>22</v>
      </c>
      <c r="U5" s="37" t="s">
        <v>23</v>
      </c>
      <c r="V5" s="37" t="s">
        <v>24</v>
      </c>
      <c r="W5" s="37" t="s">
        <v>25</v>
      </c>
      <c r="X5" s="37" t="s">
        <v>26</v>
      </c>
      <c r="Y5" s="37" t="s">
        <v>27</v>
      </c>
    </row>
    <row r="6" spans="1:25">
      <c r="A6" s="38">
        <v>1</v>
      </c>
      <c r="B6" s="39">
        <v>46235</v>
      </c>
      <c r="C6" s="40" t="s">
        <v>28</v>
      </c>
      <c r="D6" s="41">
        <v>-2150</v>
      </c>
      <c r="E6" s="42" t="s">
        <v>29</v>
      </c>
      <c r="F6" s="43"/>
      <c r="G6" s="40" t="str">
        <f>IF(AND(E6="",D6=""),"",IF(OR(E6="",E6='By category'!$C$6),"Needs you",IF(E6&lt;&gt;O6,"You decided",IF(F6&lt;&gt;"","You checked",P6))))</f>
        <v>You said</v>
      </c>
      <c r="H6" s="44" t="s">
        <v>30</v>
      </c>
      <c r="I6" s="44" t="s">
        <v>31</v>
      </c>
      <c r="J6" s="45">
        <v>7262.6</v>
      </c>
      <c r="K6" s="38">
        <v>6</v>
      </c>
      <c r="L6" s="46" t="s">
        <v>31</v>
      </c>
      <c r="M6" s="1">
        <f>IF(B6="","",DATE(YEAR(B6),MONTH(B6),1))</f>
        <v>46235.0</v>
      </c>
      <c r="N6" s="1" t="str">
        <f>IF(D6="","",IF(E6="",'By category'!$B$6,IFERROR(INDEX('By category'!$B$6:$B$31,MATCH(E6,'By category'!$C$6:$C$31,0)),"none")))</f>
        <v>Spending</v>
      </c>
      <c r="O6" s="1" t="s">
        <v>29</v>
      </c>
      <c r="P6" s="1" t="s">
        <v>32</v>
      </c>
      <c r="Q6" s="1">
        <f>IF(AND(J6&lt;&gt;"",N6&lt;&gt;'By category'!$B$28),J6,'Checks'!$C$8)</f>
        <v>7262.6</v>
      </c>
      <c r="R6" s="1">
        <f>IF(OR(J6="",D6="",N6='By category'!$B$28,'Checks'!$C$8=""),0,IF(ABS('Checks'!$C$8+D6-J6)&gt;0.005,1,0))</f>
        <v>0.0</v>
      </c>
      <c r="T6" s="1" t="str">
        <f>IF(R6=1,'Checks'!$C$8+D6,"")</f>
        <v/>
      </c>
      <c r="V6" s="1">
        <f>IF(D6="",1,IF(OR(ABS(D6-'As read'!$A$6)&gt;0.005,B6&lt;&gt;'As read'!$B$6),1,0))</f>
        <v>0.0</v>
      </c>
      <c r="W6" s="1">
        <f>IF(J6="",IF('As read'!$C$6="",0,1),IF('As read'!$C$6="",1,IF(ABS(J6-'As read'!$C$6)&gt;0.005,1,0)))</f>
        <v>0.0</v>
      </c>
      <c r="X6" s="1">
        <f>IF(AND(N6='By category'!$B$28,O6&lt;&gt;E6),1,0)</f>
        <v>0.0</v>
      </c>
      <c r="Y6" s="1">
        <f>IF(AND(U6=1,N6&lt;&gt;"Loan money",N6&lt;&gt;'By category'!$B$28,N6&lt;&gt;"Undecided"),1,0)</f>
        <v>0.0</v>
      </c>
    </row>
    <row r="7" spans="1:25">
      <c r="A7" s="38">
        <v>2</v>
      </c>
      <c r="B7" s="39">
        <v>46237</v>
      </c>
      <c r="C7" s="40" t="s">
        <v>33</v>
      </c>
      <c r="D7" s="41">
        <v>3280</v>
      </c>
      <c r="E7" s="42" t="s">
        <v>34</v>
      </c>
      <c r="F7" s="43"/>
      <c r="G7" s="40" t="str">
        <f>IF(AND(E7="",D7=""),"",IF(OR(E7="",E7='By category'!$C$6),"Needs you",IF(E7&lt;&gt;O7,"You decided",IF(F7&lt;&gt;"","You checked",P7))))</f>
        <v>You said</v>
      </c>
      <c r="H7" s="44" t="s">
        <v>35</v>
      </c>
      <c r="I7" s="44" t="s">
        <v>31</v>
      </c>
      <c r="J7" s="45">
        <v>10542.6</v>
      </c>
      <c r="K7" s="38">
        <v>8</v>
      </c>
      <c r="L7" s="46" t="s">
        <v>31</v>
      </c>
      <c r="M7" s="1">
        <f>IF(B7="","",DATE(YEAR(B7),MONTH(B7),1))</f>
        <v>46235.0</v>
      </c>
      <c r="N7" s="1" t="str">
        <f>IF(D7="","",IF(E7="",'By category'!$B$6,IFERROR(INDEX('By category'!$B$6:$B$31,MATCH(E7,'By category'!$C$6:$C$31,0)),"none")))</f>
        <v>Money in</v>
      </c>
      <c r="O7" s="1" t="s">
        <v>34</v>
      </c>
      <c r="P7" s="1" t="s">
        <v>32</v>
      </c>
      <c r="Q7" s="1">
        <f>IF(AND(J7&lt;&gt;"",N7&lt;&gt;'By category'!$B$28),J7,Q6)</f>
        <v>10542.6</v>
      </c>
      <c r="R7" s="1">
        <f>IF(OR(J7="",D7="",N7='By category'!$B$28,Q6=""),0,IF(ABS(Q6+D7-J7)&gt;0.005,1,0))</f>
        <v>0.0</v>
      </c>
      <c r="T7" s="1" t="str">
        <f>IF(R7=1,Q6+D7,"")</f>
        <v/>
      </c>
      <c r="V7" s="1">
        <f>IF(D7="",1,IF(OR(ABS(D7-'As read'!$A$7)&gt;0.005,B7&lt;&gt;'As read'!$B$7),1,0))</f>
        <v>0.0</v>
      </c>
      <c r="W7" s="1">
        <f>IF(J7="",IF('As read'!$C$7="",0,1),IF('As read'!$C$7="",1,IF(ABS(J7-'As read'!$C$7)&gt;0.005,1,0)))</f>
        <v>0.0</v>
      </c>
      <c r="X7" s="1">
        <f>IF(AND(N7='By category'!$B$28,O7&lt;&gt;E7),1,0)</f>
        <v>0.0</v>
      </c>
      <c r="Y7" s="1">
        <f>IF(AND(U7=1,N7&lt;&gt;"Loan money",N7&lt;&gt;'By category'!$B$28,N7&lt;&gt;"Undecided"),1,0)</f>
        <v>0.0</v>
      </c>
    </row>
    <row r="8" spans="1:25">
      <c r="A8" s="38">
        <v>3</v>
      </c>
      <c r="B8" s="39">
        <v>46238</v>
      </c>
      <c r="C8" s="40" t="s">
        <v>36</v>
      </c>
      <c r="D8" s="41">
        <v>-612.4</v>
      </c>
      <c r="E8" s="42" t="s">
        <v>37</v>
      </c>
      <c r="F8" s="43"/>
      <c r="G8" s="40" t="str">
        <f>IF(AND(E8="",D8=""),"",IF(OR(E8="",E8='By category'!$C$6),"Needs you",IF(E8&lt;&gt;O8,"You decided",IF(F8&lt;&gt;"","You checked",P8))))</f>
        <v>You said</v>
      </c>
      <c r="H8" s="44" t="s">
        <v>38</v>
      </c>
      <c r="I8" s="44" t="s">
        <v>31</v>
      </c>
      <c r="J8" s="45">
        <v>9930.200000000001</v>
      </c>
      <c r="K8" s="38">
        <v>9</v>
      </c>
      <c r="L8" s="46" t="s">
        <v>31</v>
      </c>
      <c r="M8" s="1">
        <f>IF(B8="","",DATE(YEAR(B8),MONTH(B8),1))</f>
        <v>46235.0</v>
      </c>
      <c r="N8" s="1" t="str">
        <f>IF(D8="","",IF(E8="",'By category'!$B$6,IFERROR(INDEX('By category'!$B$6:$B$31,MATCH(E8,'By category'!$C$6:$C$31,0)),"none")))</f>
        <v>Spending</v>
      </c>
      <c r="O8" s="1" t="s">
        <v>37</v>
      </c>
      <c r="P8" s="1" t="s">
        <v>32</v>
      </c>
      <c r="Q8" s="1">
        <f>IF(AND(J8&lt;&gt;"",N8&lt;&gt;'By category'!$B$28),J8,Q7)</f>
        <v>9930.2</v>
      </c>
      <c r="R8" s="1">
        <f>IF(OR(J8="",D8="",N8='By category'!$B$28,Q7=""),0,IF(ABS(Q7+D8-J8)&gt;0.005,1,0))</f>
        <v>0.0</v>
      </c>
      <c r="T8" s="1" t="str">
        <f>IF(R8=1,Q7+D8,"")</f>
        <v/>
      </c>
      <c r="V8" s="1">
        <f>IF(D8="",1,IF(OR(ABS(D8-'As read'!$A$8)&gt;0.005,B8&lt;&gt;'As read'!$B$8),1,0))</f>
        <v>0.0</v>
      </c>
      <c r="W8" s="1">
        <f>IF(J8="",IF('As read'!$C$8="",0,1),IF('As read'!$C$8="",1,IF(ABS(J8-'As read'!$C$8)&gt;0.005,1,0)))</f>
        <v>0.0</v>
      </c>
      <c r="X8" s="1">
        <f>IF(AND(N8='By category'!$B$28,O8&lt;&gt;E8),1,0)</f>
        <v>0.0</v>
      </c>
      <c r="Y8" s="1">
        <f>IF(AND(U8=1,N8&lt;&gt;"Loan money",N8&lt;&gt;'By category'!$B$28,N8&lt;&gt;"Undecided"),1,0)</f>
        <v>0.0</v>
      </c>
    </row>
    <row r="9" spans="1:25">
      <c r="A9" s="38">
        <v>4</v>
      </c>
      <c r="B9" s="39">
        <v>46239</v>
      </c>
      <c r="C9" s="40" t="s">
        <v>39</v>
      </c>
      <c r="D9" s="41">
        <v>-318.75</v>
      </c>
      <c r="E9" s="42" t="s">
        <v>40</v>
      </c>
      <c r="F9" s="43"/>
      <c r="G9" s="40" t="str">
        <f>IF(AND(E9="",D9=""),"",IF(OR(E9="",E9='By category'!$C$6),"Needs you",IF(E9&lt;&gt;O9,"You decided",IF(F9&lt;&gt;"","You checked",P9))))</f>
        <v>You said</v>
      </c>
      <c r="H9" s="44" t="s">
        <v>41</v>
      </c>
      <c r="I9" s="44" t="s">
        <v>31</v>
      </c>
      <c r="J9" s="45">
        <v>9611.450000000001</v>
      </c>
      <c r="K9" s="38">
        <v>11</v>
      </c>
      <c r="L9" s="46" t="s">
        <v>31</v>
      </c>
      <c r="M9" s="1">
        <f>IF(B9="","",DATE(YEAR(B9),MONTH(B9),1))</f>
        <v>46235.0</v>
      </c>
      <c r="N9" s="1" t="str">
        <f>IF(D9="","",IF(E9="",'By category'!$B$6,IFERROR(INDEX('By category'!$B$6:$B$31,MATCH(E9,'By category'!$C$6:$C$31,0)),"none")))</f>
        <v>Spending</v>
      </c>
      <c r="O9" s="1" t="s">
        <v>40</v>
      </c>
      <c r="P9" s="1" t="s">
        <v>32</v>
      </c>
      <c r="Q9" s="1">
        <f>IF(AND(J9&lt;&gt;"",N9&lt;&gt;'By category'!$B$28),J9,Q8)</f>
        <v>9611.45</v>
      </c>
      <c r="R9" s="1">
        <f>IF(OR(J9="",D9="",N9='By category'!$B$28,Q8=""),0,IF(ABS(Q8+D9-J9)&gt;0.005,1,0))</f>
        <v>0.0</v>
      </c>
      <c r="T9" s="1" t="str">
        <f>IF(R9=1,Q8+D9,"")</f>
        <v/>
      </c>
      <c r="V9" s="1">
        <f>IF(D9="",1,IF(OR(ABS(D9-'As read'!$A$9)&gt;0.005,B9&lt;&gt;'As read'!$B$9),1,0))</f>
        <v>0.0</v>
      </c>
      <c r="W9" s="1">
        <f>IF(J9="",IF('As read'!$C$9="",0,1),IF('As read'!$C$9="",1,IF(ABS(J9-'As read'!$C$9)&gt;0.005,1,0)))</f>
        <v>0.0</v>
      </c>
      <c r="X9" s="1">
        <f>IF(AND(N9='By category'!$B$28,O9&lt;&gt;E9),1,0)</f>
        <v>0.0</v>
      </c>
      <c r="Y9" s="1">
        <f>IF(AND(U9=1,N9&lt;&gt;"Loan money",N9&lt;&gt;'By category'!$B$28,N9&lt;&gt;"Undecided"),1,0)</f>
        <v>0.0</v>
      </c>
    </row>
    <row r="10" spans="1:25">
      <c r="A10" s="38">
        <v>5</v>
      </c>
      <c r="B10" s="39">
        <v>46241</v>
      </c>
      <c r="C10" s="40" t="s">
        <v>42</v>
      </c>
      <c r="D10" s="41">
        <v>-1500</v>
      </c>
      <c r="E10" s="42" t="s">
        <v>43</v>
      </c>
      <c r="F10" s="43"/>
      <c r="G10" s="40" t="str">
        <f>IF(AND(E10="",D10=""),"",IF(OR(E10="",E10='By category'!$C$6),"Needs you",IF(E10&lt;&gt;O10,"You decided",IF(F10&lt;&gt;"","You checked",P10))))</f>
        <v>You said</v>
      </c>
      <c r="H10" s="44" t="s">
        <v>44</v>
      </c>
      <c r="I10" s="44" t="s">
        <v>31</v>
      </c>
      <c r="J10" s="45">
        <v>8111.45</v>
      </c>
      <c r="K10" s="38">
        <v>12</v>
      </c>
      <c r="L10" s="46" t="s">
        <v>31</v>
      </c>
      <c r="M10" s="1">
        <f>IF(B10="","",DATE(YEAR(B10),MONTH(B10),1))</f>
        <v>46235.0</v>
      </c>
      <c r="N10" s="1" t="str">
        <f>IF(D10="","",IF(E10="",'By category'!$B$6,IFERROR(INDEX('By category'!$B$6:$B$31,MATCH(E10,'By category'!$C$6:$C$31,0)),"none")))</f>
        <v>Between my accounts</v>
      </c>
      <c r="O10" s="1" t="s">
        <v>43</v>
      </c>
      <c r="P10" s="1" t="s">
        <v>32</v>
      </c>
      <c r="Q10" s="1">
        <f>IF(AND(J10&lt;&gt;"",N10&lt;&gt;'By category'!$B$28),J10,Q9)</f>
        <v>8111.45</v>
      </c>
      <c r="R10" s="1">
        <f>IF(OR(J10="",D10="",N10='By category'!$B$28,Q9=""),0,IF(ABS(Q9+D10-J10)&gt;0.005,1,0))</f>
        <v>0.0</v>
      </c>
      <c r="T10" s="1" t="str">
        <f>IF(R10=1,Q9+D10,"")</f>
        <v/>
      </c>
      <c r="V10" s="1">
        <f>IF(D10="",1,IF(OR(ABS(D10-'As read'!$A$10)&gt;0.005,B10&lt;&gt;'As read'!$B$10),1,0))</f>
        <v>0.0</v>
      </c>
      <c r="W10" s="1">
        <f>IF(J10="",IF('As read'!$C$10="",0,1),IF('As read'!$C$10="",1,IF(ABS(J10-'As read'!$C$10)&gt;0.005,1,0)))</f>
        <v>0.0</v>
      </c>
      <c r="X10" s="1">
        <f>IF(AND(N10='By category'!$B$28,O10&lt;&gt;E10),1,0)</f>
        <v>0.0</v>
      </c>
      <c r="Y10" s="1">
        <f>IF(AND(U10=1,N10&lt;&gt;"Loan money",N10&lt;&gt;'By category'!$B$28,N10&lt;&gt;"Undecided"),1,0)</f>
        <v>0.0</v>
      </c>
    </row>
    <row r="11" spans="1:25">
      <c r="A11" s="38">
        <v>6</v>
      </c>
      <c r="B11" s="39">
        <v>46242</v>
      </c>
      <c r="C11" s="40" t="s">
        <v>45</v>
      </c>
      <c r="D11" s="41">
        <v>-300</v>
      </c>
      <c r="E11" s="42" t="s">
        <v>46</v>
      </c>
      <c r="F11" s="43"/>
      <c r="G11" s="40" t="str">
        <f>IF(AND(E11="",D11=""),"",IF(OR(E11="",E11='By category'!$C$6),"Needs you",IF(E11&lt;&gt;O11,"You decided",IF(F11&lt;&gt;"","You checked",P11))))</f>
        <v>Needs you</v>
      </c>
      <c r="H11" s="44" t="s">
        <v>47</v>
      </c>
      <c r="I11" s="44" t="s">
        <v>48</v>
      </c>
      <c r="J11" s="45">
        <v>7811.45</v>
      </c>
      <c r="K11" s="38">
        <v>13</v>
      </c>
      <c r="L11" s="46" t="s">
        <v>31</v>
      </c>
      <c r="M11" s="1">
        <f>IF(B11="","",DATE(YEAR(B11),MONTH(B11),1))</f>
        <v>46235.0</v>
      </c>
      <c r="N11" s="1" t="str">
        <f>IF(D11="","",IF(E11="",'By category'!$B$6,IFERROR(INDEX('By category'!$B$6:$B$31,MATCH(E11,'By category'!$C$6:$C$31,0)),"none")))</f>
        <v>Undecided</v>
      </c>
      <c r="O11" s="1" t="s">
        <v>46</v>
      </c>
      <c r="P11" s="1" t="s">
        <v>31</v>
      </c>
      <c r="Q11" s="1">
        <f>IF(AND(J11&lt;&gt;"",N11&lt;&gt;'By category'!$B$28),J11,Q10)</f>
        <v>7811.45</v>
      </c>
      <c r="R11" s="1">
        <f>IF(OR(J11="",D11="",N11='By category'!$B$28,Q10=""),0,IF(ABS(Q10+D11-J11)&gt;0.005,1,0))</f>
        <v>0.0</v>
      </c>
      <c r="T11" s="1" t="str">
        <f>IF(R11=1,Q10+D11,"")</f>
        <v/>
      </c>
      <c r="V11" s="1">
        <f>IF(D11="",1,IF(OR(ABS(D11-'As read'!$A$11)&gt;0.005,B11&lt;&gt;'As read'!$B$11),1,0))</f>
        <v>0.0</v>
      </c>
      <c r="W11" s="1">
        <f>IF(J11="",IF('As read'!$C$11="",0,1),IF('As read'!$C$11="",1,IF(ABS(J11-'As read'!$C$11)&gt;0.005,1,0)))</f>
        <v>0.0</v>
      </c>
      <c r="X11" s="1">
        <f>IF(AND(N11='By category'!$B$28,O11&lt;&gt;E11),1,0)</f>
        <v>0.0</v>
      </c>
      <c r="Y11" s="1">
        <f>IF(AND(U11=1,N11&lt;&gt;"Loan money",N11&lt;&gt;'By category'!$B$28,N11&lt;&gt;"Undecided"),1,0)</f>
        <v>0.0</v>
      </c>
    </row>
    <row r="12" spans="1:25">
      <c r="A12" s="38">
        <v>7</v>
      </c>
      <c r="B12" s="39">
        <v>46245</v>
      </c>
      <c r="C12" s="40" t="s">
        <v>49</v>
      </c>
      <c r="D12" s="41">
        <v>-186.2</v>
      </c>
      <c r="E12" s="42" t="s">
        <v>48</v>
      </c>
      <c r="F12" s="43"/>
      <c r="G12" s="40" t="str">
        <f>IF(AND(E12="",D12=""),"",IF(OR(E12="",E12='By category'!$C$6),"Needs you",IF(E12&lt;&gt;O12,"You decided",IF(F12&lt;&gt;"","You checked",P12))))</f>
        <v>You said</v>
      </c>
      <c r="H12" s="44" t="s">
        <v>50</v>
      </c>
      <c r="I12" s="44" t="s">
        <v>31</v>
      </c>
      <c r="J12" s="45">
        <v>7625.25</v>
      </c>
      <c r="K12" s="38">
        <v>14</v>
      </c>
      <c r="L12" s="46" t="s">
        <v>31</v>
      </c>
      <c r="M12" s="1">
        <f>IF(B12="","",DATE(YEAR(B12),MONTH(B12),1))</f>
        <v>46235.0</v>
      </c>
      <c r="N12" s="1" t="str">
        <f>IF(D12="","",IF(E12="",'By category'!$B$6,IFERROR(INDEX('By category'!$B$6:$B$31,MATCH(E12,'By category'!$C$6:$C$31,0)),"none")))</f>
        <v>Private</v>
      </c>
      <c r="O12" s="1" t="s">
        <v>48</v>
      </c>
      <c r="P12" s="1" t="s">
        <v>32</v>
      </c>
      <c r="Q12" s="1">
        <f>IF(AND(J12&lt;&gt;"",N12&lt;&gt;'By category'!$B$28),J12,Q11)</f>
        <v>7625.25</v>
      </c>
      <c r="R12" s="1">
        <f>IF(OR(J12="",D12="",N12='By category'!$B$28,Q11=""),0,IF(ABS(Q11+D12-J12)&gt;0.005,1,0))</f>
        <v>0.0</v>
      </c>
      <c r="T12" s="1" t="str">
        <f>IF(R12=1,Q11+D12,"")</f>
        <v/>
      </c>
      <c r="V12" s="1">
        <f>IF(D12="",1,IF(OR(ABS(D12-'As read'!$A$12)&gt;0.005,B12&lt;&gt;'As read'!$B$12),1,0))</f>
        <v>0.0</v>
      </c>
      <c r="W12" s="1">
        <f>IF(J12="",IF('As read'!$C$12="",0,1),IF('As read'!$C$12="",1,IF(ABS(J12-'As read'!$C$12)&gt;0.005,1,0)))</f>
        <v>0.0</v>
      </c>
      <c r="X12" s="1">
        <f>IF(AND(N12='By category'!$B$28,O12&lt;&gt;E12),1,0)</f>
        <v>0.0</v>
      </c>
      <c r="Y12" s="1">
        <f>IF(AND(U12=1,N12&lt;&gt;"Loan money",N12&lt;&gt;'By category'!$B$28,N12&lt;&gt;"Undecided"),1,0)</f>
        <v>0.0</v>
      </c>
    </row>
    <row r="13" spans="1:25">
      <c r="A13" s="38">
        <v>8</v>
      </c>
      <c r="B13" s="39">
        <v>46246</v>
      </c>
      <c r="C13" s="40" t="s">
        <v>51</v>
      </c>
      <c r="D13" s="41">
        <v>-42.18</v>
      </c>
      <c r="E13" s="42" t="s">
        <v>52</v>
      </c>
      <c r="F13" s="43"/>
      <c r="G13" s="40" t="str">
        <f>IF(AND(E13="",D13=""),"",IF(OR(E13="",E13='By category'!$C$6),"Needs you",IF(E13&lt;&gt;O13,"You decided",IF(F13&lt;&gt;"","You checked",P13))))</f>
        <v>Our guess, not checked</v>
      </c>
      <c r="H13" s="44" t="s">
        <v>53</v>
      </c>
      <c r="I13" s="44" t="s">
        <v>31</v>
      </c>
      <c r="J13" s="45">
        <v>7583.07</v>
      </c>
      <c r="K13" s="38">
        <v>15</v>
      </c>
      <c r="L13" s="46" t="s">
        <v>31</v>
      </c>
      <c r="M13" s="1">
        <f>IF(B13="","",DATE(YEAR(B13),MONTH(B13),1))</f>
        <v>46235.0</v>
      </c>
      <c r="N13" s="1" t="str">
        <f>IF(D13="","",IF(E13="",'By category'!$B$6,IFERROR(INDEX('By category'!$B$6:$B$31,MATCH(E13,'By category'!$C$6:$C$31,0)),"none")))</f>
        <v>Spending</v>
      </c>
      <c r="O13" s="1" t="s">
        <v>52</v>
      </c>
      <c r="P13" s="1" t="s">
        <v>54</v>
      </c>
      <c r="Q13" s="1">
        <f>IF(AND(J13&lt;&gt;"",N13&lt;&gt;'By category'!$B$28),J13,Q12)</f>
        <v>7583.07</v>
      </c>
      <c r="R13" s="1">
        <f>IF(OR(J13="",D13="",N13='By category'!$B$28,Q12=""),0,IF(ABS(Q12+D13-J13)&gt;0.005,1,0))</f>
        <v>0.0</v>
      </c>
      <c r="T13" s="1" t="str">
        <f>IF(R13=1,Q12+D13,"")</f>
        <v/>
      </c>
      <c r="V13" s="1">
        <f>IF(D13="",1,IF(OR(ABS(D13-'As read'!$A$13)&gt;0.005,B13&lt;&gt;'As read'!$B$13),1,0))</f>
        <v>0.0</v>
      </c>
      <c r="W13" s="1">
        <f>IF(J13="",IF('As read'!$C$13="",0,1),IF('As read'!$C$13="",1,IF(ABS(J13-'As read'!$C$13)&gt;0.005,1,0)))</f>
        <v>0.0</v>
      </c>
      <c r="X13" s="1">
        <f>IF(AND(N13='By category'!$B$28,O13&lt;&gt;E13),1,0)</f>
        <v>0.0</v>
      </c>
      <c r="Y13" s="1">
        <f>IF(AND(U13=1,N13&lt;&gt;"Loan money",N13&lt;&gt;'By category'!$B$28,N13&lt;&gt;"Undecided"),1,0)</f>
        <v>0.0</v>
      </c>
    </row>
    <row r="14" spans="1:25">
      <c r="A14" s="38">
        <v>9</v>
      </c>
      <c r="B14" s="39">
        <v>46248</v>
      </c>
      <c r="C14" s="40" t="s">
        <v>55</v>
      </c>
      <c r="D14" s="41">
        <v>-65</v>
      </c>
      <c r="E14" s="42" t="s">
        <v>56</v>
      </c>
      <c r="F14" s="43"/>
      <c r="G14" s="40" t="str">
        <f>IF(AND(E14="",D14=""),"",IF(OR(E14="",E14='By category'!$C$6),"Needs you",IF(E14&lt;&gt;O14,"You decided",IF(F14&lt;&gt;"","You checked",P14))))</f>
        <v>You said</v>
      </c>
      <c r="H14" s="44" t="s">
        <v>57</v>
      </c>
      <c r="I14" s="44" t="s">
        <v>31</v>
      </c>
      <c r="J14" s="45">
        <v>7518.07</v>
      </c>
      <c r="K14" s="38">
        <v>16</v>
      </c>
      <c r="L14" s="46" t="s">
        <v>31</v>
      </c>
      <c r="M14" s="1">
        <f>IF(B14="","",DATE(YEAR(B14),MONTH(B14),1))</f>
        <v>46235.0</v>
      </c>
      <c r="N14" s="1" t="str">
        <f>IF(D14="","",IF(E14="",'By category'!$B$6,IFERROR(INDEX('By category'!$B$6:$B$31,MATCH(E14,'By category'!$C$6:$C$31,0)),"none")))</f>
        <v>Spending</v>
      </c>
      <c r="O14" s="1" t="s">
        <v>56</v>
      </c>
      <c r="P14" s="1" t="s">
        <v>32</v>
      </c>
      <c r="Q14" s="1">
        <f>IF(AND(J14&lt;&gt;"",N14&lt;&gt;'By category'!$B$28),J14,Q13)</f>
        <v>7518.07</v>
      </c>
      <c r="R14" s="1">
        <f>IF(OR(J14="",D14="",N14='By category'!$B$28,Q13=""),0,IF(ABS(Q13+D14-J14)&gt;0.005,1,0))</f>
        <v>0.0</v>
      </c>
      <c r="T14" s="1" t="str">
        <f>IF(R14=1,Q13+D14,"")</f>
        <v/>
      </c>
      <c r="V14" s="1">
        <f>IF(D14="",1,IF(OR(ABS(D14-'As read'!$A$14)&gt;0.005,B14&lt;&gt;'As read'!$B$14),1,0))</f>
        <v>0.0</v>
      </c>
      <c r="W14" s="1">
        <f>IF(J14="",IF('As read'!$C$14="",0,1),IF('As read'!$C$14="",1,IF(ABS(J14-'As read'!$C$14)&gt;0.005,1,0)))</f>
        <v>0.0</v>
      </c>
      <c r="X14" s="1">
        <f>IF(AND(N14='By category'!$B$28,O14&lt;&gt;E14),1,0)</f>
        <v>0.0</v>
      </c>
      <c r="Y14" s="1">
        <f>IF(AND(U14=1,N14&lt;&gt;"Loan money",N14&lt;&gt;'By category'!$B$28,N14&lt;&gt;"Undecided"),1,0)</f>
        <v>0.0</v>
      </c>
    </row>
    <row r="15" spans="1:25">
      <c r="A15" s="38">
        <v>10</v>
      </c>
      <c r="B15" s="39">
        <v>46249</v>
      </c>
      <c r="C15" s="40" t="s">
        <v>58</v>
      </c>
      <c r="D15" s="41">
        <v>1800</v>
      </c>
      <c r="E15" s="42" t="s">
        <v>46</v>
      </c>
      <c r="F15" s="43"/>
      <c r="G15" s="40" t="str">
        <f>IF(AND(E15="",D15=""),"",IF(OR(E15="",E15='By category'!$C$6),"Needs you",IF(E15&lt;&gt;O15,"You decided",IF(F15&lt;&gt;"","You checked",P15))))</f>
        <v>Needs you</v>
      </c>
      <c r="H15" s="44" t="s">
        <v>59</v>
      </c>
      <c r="I15" s="44" t="s">
        <v>34</v>
      </c>
      <c r="J15" s="45">
        <v>9318.07</v>
      </c>
      <c r="K15" s="38">
        <v>17</v>
      </c>
      <c r="L15" s="46" t="s">
        <v>31</v>
      </c>
      <c r="M15" s="1">
        <f>IF(B15="","",DATE(YEAR(B15),MONTH(B15),1))</f>
        <v>46235.0</v>
      </c>
      <c r="N15" s="1" t="str">
        <f>IF(D15="","",IF(E15="",'By category'!$B$6,IFERROR(INDEX('By category'!$B$6:$B$31,MATCH(E15,'By category'!$C$6:$C$31,0)),"none")))</f>
        <v>Undecided</v>
      </c>
      <c r="O15" s="1" t="s">
        <v>46</v>
      </c>
      <c r="P15" s="1" t="s">
        <v>31</v>
      </c>
      <c r="Q15" s="1">
        <f>IF(AND(J15&lt;&gt;"",N15&lt;&gt;'By category'!$B$28),J15,Q14)</f>
        <v>9318.07</v>
      </c>
      <c r="R15" s="1">
        <f>IF(OR(J15="",D15="",N15='By category'!$B$28,Q14=""),0,IF(ABS(Q14+D15-J15)&gt;0.005,1,0))</f>
        <v>0.0</v>
      </c>
      <c r="T15" s="1" t="str">
        <f>IF(R15=1,Q14+D15,"")</f>
        <v/>
      </c>
      <c r="V15" s="1">
        <f>IF(D15="",1,IF(OR(ABS(D15-'As read'!$A$15)&gt;0.005,B15&lt;&gt;'As read'!$B$15),1,0))</f>
        <v>0.0</v>
      </c>
      <c r="W15" s="1">
        <f>IF(J15="",IF('As read'!$C$15="",0,1),IF('As read'!$C$15="",1,IF(ABS(J15-'As read'!$C$15)&gt;0.005,1,0)))</f>
        <v>0.0</v>
      </c>
      <c r="X15" s="1">
        <f>IF(AND(N15='By category'!$B$28,O15&lt;&gt;E15),1,0)</f>
        <v>0.0</v>
      </c>
      <c r="Y15" s="1">
        <f>IF(AND(U15=1,N15&lt;&gt;"Loan money",N15&lt;&gt;'By category'!$B$28,N15&lt;&gt;"Undecided"),1,0)</f>
        <v>0.0</v>
      </c>
    </row>
    <row r="16" spans="1:25">
      <c r="A16" s="38">
        <v>11</v>
      </c>
      <c r="B16" s="39">
        <v>46253</v>
      </c>
      <c r="C16" s="40" t="s">
        <v>60</v>
      </c>
      <c r="D16" s="41">
        <v>1460</v>
      </c>
      <c r="E16" s="42" t="s">
        <v>46</v>
      </c>
      <c r="F16" s="43"/>
      <c r="G16" s="40" t="str">
        <f>IF(AND(E16="",D16=""),"",IF(OR(E16="",E16='By category'!$C$6),"Needs you",IF(E16&lt;&gt;O16,"You decided",IF(F16&lt;&gt;"","You checked",P16))))</f>
        <v>Needs you</v>
      </c>
      <c r="H16" s="44" t="s">
        <v>61</v>
      </c>
      <c r="I16" s="44" t="s">
        <v>34</v>
      </c>
      <c r="J16" s="45">
        <v>10778.07</v>
      </c>
      <c r="K16" s="38">
        <v>18</v>
      </c>
      <c r="L16" s="46" t="s">
        <v>31</v>
      </c>
      <c r="M16" s="1">
        <f>IF(B16="","",DATE(YEAR(B16),MONTH(B16),1))</f>
        <v>46235.0</v>
      </c>
      <c r="N16" s="1" t="str">
        <f>IF(D16="","",IF(E16="",'By category'!$B$6,IFERROR(INDEX('By category'!$B$6:$B$31,MATCH(E16,'By category'!$C$6:$C$31,0)),"none")))</f>
        <v>Undecided</v>
      </c>
      <c r="O16" s="1" t="s">
        <v>46</v>
      </c>
      <c r="P16" s="1" t="s">
        <v>31</v>
      </c>
      <c r="Q16" s="1">
        <f>IF(AND(J16&lt;&gt;"",N16&lt;&gt;'By category'!$B$28),J16,Q15)</f>
        <v>10778.07</v>
      </c>
      <c r="R16" s="1">
        <f>IF(OR(J16="",D16="",N16='By category'!$B$28,Q15=""),0,IF(ABS(Q15+D16-J16)&gt;0.005,1,0))</f>
        <v>0.0</v>
      </c>
      <c r="T16" s="1" t="str">
        <f>IF(R16=1,Q15+D16,"")</f>
        <v/>
      </c>
      <c r="V16" s="1">
        <f>IF(D16="",1,IF(OR(ABS(D16-'As read'!$A$16)&gt;0.005,B16&lt;&gt;'As read'!$B$16),1,0))</f>
        <v>0.0</v>
      </c>
      <c r="W16" s="1">
        <f>IF(J16="",IF('As read'!$C$16="",0,1),IF('As read'!$C$16="",1,IF(ABS(J16-'As read'!$C$16)&gt;0.005,1,0)))</f>
        <v>0.0</v>
      </c>
      <c r="X16" s="1">
        <f>IF(AND(N16='By category'!$B$28,O16&lt;&gt;E16),1,0)</f>
        <v>0.0</v>
      </c>
      <c r="Y16" s="1">
        <f>IF(AND(U16=1,N16&lt;&gt;"Loan money",N16&lt;&gt;'By category'!$B$28,N16&lt;&gt;"Undecided"),1,0)</f>
        <v>0.0</v>
      </c>
    </row>
    <row r="17" spans="1:25">
      <c r="A17" s="38">
        <v>12</v>
      </c>
      <c r="B17" s="39">
        <v>46255</v>
      </c>
      <c r="C17" s="40" t="s">
        <v>62</v>
      </c>
      <c r="D17" s="41">
        <v>-94.3</v>
      </c>
      <c r="E17" s="42" t="s">
        <v>63</v>
      </c>
      <c r="F17" s="43"/>
      <c r="G17" s="40" t="str">
        <f>IF(AND(E17="",D17=""),"",IF(OR(E17="",E17='By category'!$C$6),"Needs you",IF(E17&lt;&gt;O17,"You decided",IF(F17&lt;&gt;"","You checked",P17))))</f>
        <v>You said</v>
      </c>
      <c r="H17" s="44" t="s">
        <v>64</v>
      </c>
      <c r="I17" s="44" t="s">
        <v>31</v>
      </c>
      <c r="J17" s="45">
        <v>10683.77</v>
      </c>
      <c r="K17" s="38">
        <v>19</v>
      </c>
      <c r="L17" s="46" t="s">
        <v>31</v>
      </c>
      <c r="M17" s="1">
        <f>IF(B17="","",DATE(YEAR(B17),MONTH(B17),1))</f>
        <v>46235.0</v>
      </c>
      <c r="N17" s="1" t="str">
        <f>IF(D17="","",IF(E17="",'By category'!$B$6,IFERROR(INDEX('By category'!$B$6:$B$31,MATCH(E17,'By category'!$C$6:$C$31,0)),"none")))</f>
        <v>Spending</v>
      </c>
      <c r="O17" s="1" t="s">
        <v>63</v>
      </c>
      <c r="P17" s="1" t="s">
        <v>32</v>
      </c>
      <c r="Q17" s="1">
        <f>IF(AND(J17&lt;&gt;"",N17&lt;&gt;'By category'!$B$28),J17,Q16)</f>
        <v>10683.77</v>
      </c>
      <c r="R17" s="1">
        <f>IF(OR(J17="",D17="",N17='By category'!$B$28,Q16=""),0,IF(ABS(Q16+D17-J17)&gt;0.005,1,0))</f>
        <v>0.0</v>
      </c>
      <c r="T17" s="1" t="str">
        <f>IF(R17=1,Q16+D17,"")</f>
        <v/>
      </c>
      <c r="V17" s="1">
        <f>IF(D17="",1,IF(OR(ABS(D17-'As read'!$A$17)&gt;0.005,B17&lt;&gt;'As read'!$B$17),1,0))</f>
        <v>0.0</v>
      </c>
      <c r="W17" s="1">
        <f>IF(J17="",IF('As read'!$C$17="",0,1),IF('As read'!$C$17="",1,IF(ABS(J17-'As read'!$C$17)&gt;0.005,1,0)))</f>
        <v>0.0</v>
      </c>
      <c r="X17" s="1">
        <f>IF(AND(N17='By category'!$B$28,O17&lt;&gt;E17),1,0)</f>
        <v>0.0</v>
      </c>
      <c r="Y17" s="1">
        <f>IF(AND(U17=1,N17&lt;&gt;"Loan money",N17&lt;&gt;'By category'!$B$28,N17&lt;&gt;"Undecided"),1,0)</f>
        <v>0.0</v>
      </c>
    </row>
    <row r="18" spans="1:25">
      <c r="A18" s="38">
        <v>13</v>
      </c>
      <c r="B18" s="39">
        <v>46259</v>
      </c>
      <c r="C18" s="40" t="s">
        <v>65</v>
      </c>
      <c r="D18" s="41">
        <v>-428</v>
      </c>
      <c r="E18" s="42" t="s">
        <v>66</v>
      </c>
      <c r="F18" s="43"/>
      <c r="G18" s="40" t="str">
        <f>IF(AND(E18="",D18=""),"",IF(OR(E18="",E18='By category'!$C$6),"Needs you",IF(E18&lt;&gt;O18,"You decided",IF(F18&lt;&gt;"","You checked",P18))))</f>
        <v>You said</v>
      </c>
      <c r="H18" s="44" t="s">
        <v>67</v>
      </c>
      <c r="I18" s="44" t="s">
        <v>31</v>
      </c>
      <c r="J18" s="45">
        <v>10255.77</v>
      </c>
      <c r="K18" s="38">
        <v>20</v>
      </c>
      <c r="L18" s="46" t="s">
        <v>31</v>
      </c>
      <c r="M18" s="1">
        <f>IF(B18="","",DATE(YEAR(B18),MONTH(B18),1))</f>
        <v>46235.0</v>
      </c>
      <c r="N18" s="1" t="str">
        <f>IF(D18="","",IF(E18="",'By category'!$B$6,IFERROR(INDEX('By category'!$B$6:$B$31,MATCH(E18,'By category'!$C$6:$C$31,0)),"none")))</f>
        <v>Spending</v>
      </c>
      <c r="O18" s="1" t="s">
        <v>66</v>
      </c>
      <c r="P18" s="1" t="s">
        <v>32</v>
      </c>
      <c r="Q18" s="1">
        <f>IF(AND(J18&lt;&gt;"",N18&lt;&gt;'By category'!$B$28),J18,Q17)</f>
        <v>10255.77</v>
      </c>
      <c r="R18" s="1">
        <f>IF(OR(J18="",D18="",N18='By category'!$B$28,Q17=""),0,IF(ABS(Q17+D18-J18)&gt;0.005,1,0))</f>
        <v>0.0</v>
      </c>
      <c r="T18" s="1" t="str">
        <f>IF(R18=1,Q17+D18,"")</f>
        <v/>
      </c>
      <c r="V18" s="1">
        <f>IF(D18="",1,IF(OR(ABS(D18-'As read'!$A$18)&gt;0.005,B18&lt;&gt;'As read'!$B$18),1,0))</f>
        <v>0.0</v>
      </c>
      <c r="W18" s="1">
        <f>IF(J18="",IF('As read'!$C$18="",0,1),IF('As read'!$C$18="",1,IF(ABS(J18-'As read'!$C$18)&gt;0.005,1,0)))</f>
        <v>0.0</v>
      </c>
      <c r="X18" s="1">
        <f>IF(AND(N18='By category'!$B$28,O18&lt;&gt;E18),1,0)</f>
        <v>0.0</v>
      </c>
      <c r="Y18" s="1">
        <f>IF(AND(U18=1,N18&lt;&gt;"Loan money",N18&lt;&gt;'By category'!$B$28,N18&lt;&gt;"Undecided"),1,0)</f>
        <v>0.0</v>
      </c>
    </row>
    <row r="19" spans="1:25">
      <c r="A19" s="38">
        <v>14</v>
      </c>
      <c r="B19" s="39">
        <v>46262</v>
      </c>
      <c r="C19" s="40" t="s">
        <v>68</v>
      </c>
      <c r="D19" s="41">
        <v>-39</v>
      </c>
      <c r="E19" s="42" t="s">
        <v>69</v>
      </c>
      <c r="F19" s="43"/>
      <c r="G19" s="40" t="str">
        <f>IF(AND(E19="",D19=""),"",IF(OR(E19="",E19='By category'!$C$6),"Needs you",IF(E19&lt;&gt;O19,"You decided",IF(F19&lt;&gt;"","You checked",P19))))</f>
        <v>You said</v>
      </c>
      <c r="H19" s="44" t="s">
        <v>70</v>
      </c>
      <c r="I19" s="44" t="s">
        <v>31</v>
      </c>
      <c r="J19" s="45">
        <v>10216.77</v>
      </c>
      <c r="K19" s="38">
        <v>21</v>
      </c>
      <c r="L19" s="46" t="s">
        <v>31</v>
      </c>
      <c r="M19" s="1">
        <f>IF(B19="","",DATE(YEAR(B19),MONTH(B19),1))</f>
        <v>46235.0</v>
      </c>
      <c r="N19" s="1" t="str">
        <f>IF(D19="","",IF(E19="",'By category'!$B$6,IFERROR(INDEX('By category'!$B$6:$B$31,MATCH(E19,'By category'!$C$6:$C$31,0)),"none")))</f>
        <v>Spending</v>
      </c>
      <c r="O19" s="1" t="s">
        <v>69</v>
      </c>
      <c r="P19" s="1" t="s">
        <v>32</v>
      </c>
      <c r="Q19" s="1">
        <f>IF(AND(J19&lt;&gt;"",N19&lt;&gt;'By category'!$B$28),J19,Q18)</f>
        <v>10216.77</v>
      </c>
      <c r="R19" s="1">
        <f>IF(OR(J19="",D19="",N19='By category'!$B$28,Q18=""),0,IF(ABS(Q18+D19-J19)&gt;0.005,1,0))</f>
        <v>0.0</v>
      </c>
      <c r="T19" s="1" t="str">
        <f>IF(R19=1,Q18+D19,"")</f>
        <v/>
      </c>
      <c r="V19" s="1">
        <f>IF(D19="",1,IF(OR(ABS(D19-'As read'!$A$19)&gt;0.005,B19&lt;&gt;'As read'!$B$19),1,0))</f>
        <v>0.0</v>
      </c>
      <c r="W19" s="1">
        <f>IF(J19="",IF('As read'!$C$19="",0,1),IF('As read'!$C$19="",1,IF(ABS(J19-'As read'!$C$19)&gt;0.005,1,0)))</f>
        <v>0.0</v>
      </c>
      <c r="X19" s="1">
        <f>IF(AND(N19='By category'!$B$28,O19&lt;&gt;E19),1,0)</f>
        <v>0.0</v>
      </c>
      <c r="Y19" s="1">
        <f>IF(AND(U19=1,N19&lt;&gt;"Loan money",N19&lt;&gt;'By category'!$B$28,N19&lt;&gt;"Undecided"),1,0)</f>
        <v>0.0</v>
      </c>
    </row>
    <row r="20" spans="1:25">
      <c r="A20" s="38">
        <v>15</v>
      </c>
      <c r="B20" s="39">
        <v>46266</v>
      </c>
      <c r="C20" s="40" t="s">
        <v>71</v>
      </c>
      <c r="D20" s="41">
        <v>-2150</v>
      </c>
      <c r="E20" s="42" t="s">
        <v>29</v>
      </c>
      <c r="F20" s="43"/>
      <c r="G20" s="40" t="str">
        <f>IF(AND(E20="",D20=""),"",IF(OR(E20="",E20='By category'!$C$6),"Needs you",IF(E20&lt;&gt;O20,"You decided",IF(F20&lt;&gt;"","You checked",P20))))</f>
        <v>You said</v>
      </c>
      <c r="H20" s="44" t="s">
        <v>30</v>
      </c>
      <c r="I20" s="44" t="s">
        <v>31</v>
      </c>
      <c r="J20" s="45">
        <v>8066.77</v>
      </c>
      <c r="K20" s="38">
        <v>25</v>
      </c>
      <c r="L20" s="46" t="s">
        <v>31</v>
      </c>
      <c r="M20" s="1">
        <f>IF(B20="","",DATE(YEAR(B20),MONTH(B20),1))</f>
        <v>46266.0</v>
      </c>
      <c r="N20" s="1" t="str">
        <f>IF(D20="","",IF(E20="",'By category'!$B$6,IFERROR(INDEX('By category'!$B$6:$B$31,MATCH(E20,'By category'!$C$6:$C$31,0)),"none")))</f>
        <v>Spending</v>
      </c>
      <c r="O20" s="1" t="s">
        <v>29</v>
      </c>
      <c r="P20" s="1" t="s">
        <v>32</v>
      </c>
      <c r="Q20" s="1">
        <f>IF(AND(J20&lt;&gt;"",N20&lt;&gt;'By category'!$B$28),J20,Q19)</f>
        <v>8066.77</v>
      </c>
      <c r="R20" s="1">
        <f>IF(OR(J20="",D20="",N20='By category'!$B$28,Q19=""),0,IF(ABS(Q19+D20-J20)&gt;0.005,1,0))</f>
        <v>0.0</v>
      </c>
      <c r="T20" s="1" t="str">
        <f>IF(R20=1,Q19+D20,"")</f>
        <v/>
      </c>
      <c r="V20" s="1">
        <f>IF(D20="",1,IF(OR(ABS(D20-'As read'!$A$20)&gt;0.005,B20&lt;&gt;'As read'!$B$20),1,0))</f>
        <v>0.0</v>
      </c>
      <c r="W20" s="1">
        <f>IF(J20="",IF('As read'!$C$20="",0,1),IF('As read'!$C$20="",1,IF(ABS(J20-'As read'!$C$20)&gt;0.005,1,0)))</f>
        <v>0.0</v>
      </c>
      <c r="X20" s="1">
        <f>IF(AND(N20='By category'!$B$28,O20&lt;&gt;E20),1,0)</f>
        <v>0.0</v>
      </c>
      <c r="Y20" s="1">
        <f>IF(AND(U20=1,N20&lt;&gt;"Loan money",N20&lt;&gt;'By category'!$B$28,N20&lt;&gt;"Undecided"),1,0)</f>
        <v>0.0</v>
      </c>
    </row>
    <row r="21" spans="1:25">
      <c r="A21" s="38">
        <v>16</v>
      </c>
      <c r="B21" s="39">
        <v>46267</v>
      </c>
      <c r="C21" s="40" t="s">
        <v>72</v>
      </c>
      <c r="D21" s="41">
        <v>-780.1</v>
      </c>
      <c r="E21" s="42" t="s">
        <v>37</v>
      </c>
      <c r="F21" s="43"/>
      <c r="G21" s="40" t="str">
        <f>IF(AND(E21="",D21=""),"",IF(OR(E21="",E21='By category'!$C$6),"Needs you",IF(E21&lt;&gt;O21,"You decided",IF(F21&lt;&gt;"","You checked",P21))))</f>
        <v>You said</v>
      </c>
      <c r="H21" s="44" t="s">
        <v>38</v>
      </c>
      <c r="I21" s="44" t="s">
        <v>31</v>
      </c>
      <c r="J21" s="45">
        <v>7286.67</v>
      </c>
      <c r="K21" s="38">
        <v>26</v>
      </c>
      <c r="L21" s="46" t="s">
        <v>31</v>
      </c>
      <c r="M21" s="1">
        <f>IF(B21="","",DATE(YEAR(B21),MONTH(B21),1))</f>
        <v>46266.0</v>
      </c>
      <c r="N21" s="1" t="str">
        <f>IF(D21="","",IF(E21="",'By category'!$B$6,IFERROR(INDEX('By category'!$B$6:$B$31,MATCH(E21,'By category'!$C$6:$C$31,0)),"none")))</f>
        <v>Spending</v>
      </c>
      <c r="O21" s="1" t="s">
        <v>37</v>
      </c>
      <c r="P21" s="1" t="s">
        <v>32</v>
      </c>
      <c r="Q21" s="1">
        <f>IF(AND(J21&lt;&gt;"",N21&lt;&gt;'By category'!$B$28),J21,Q20)</f>
        <v>7286.67</v>
      </c>
      <c r="R21" s="1">
        <f>IF(OR(J21="",D21="",N21='By category'!$B$28,Q20=""),0,IF(ABS(Q20+D21-J21)&gt;0.005,1,0))</f>
        <v>0.0</v>
      </c>
      <c r="T21" s="1" t="str">
        <f>IF(R21=1,Q20+D21,"")</f>
        <v/>
      </c>
      <c r="V21" s="1">
        <f>IF(D21="",1,IF(OR(ABS(D21-'As read'!$A$21)&gt;0.005,B21&lt;&gt;'As read'!$B$21),1,0))</f>
        <v>0.0</v>
      </c>
      <c r="W21" s="1">
        <f>IF(J21="",IF('As read'!$C$21="",0,1),IF('As read'!$C$21="",1,IF(ABS(J21-'As read'!$C$21)&gt;0.005,1,0)))</f>
        <v>0.0</v>
      </c>
      <c r="X21" s="1">
        <f>IF(AND(N21='By category'!$B$28,O21&lt;&gt;E21),1,0)</f>
        <v>0.0</v>
      </c>
      <c r="Y21" s="1">
        <f>IF(AND(U21=1,N21&lt;&gt;"Loan money",N21&lt;&gt;'By category'!$B$28,N21&lt;&gt;"Undecided"),1,0)</f>
        <v>0.0</v>
      </c>
    </row>
    <row r="22" spans="1:25">
      <c r="A22" s="38">
        <v>17</v>
      </c>
      <c r="B22" s="39">
        <v>46268</v>
      </c>
      <c r="C22" s="40" t="s">
        <v>73</v>
      </c>
      <c r="D22" s="41">
        <v>120</v>
      </c>
      <c r="E22" s="42" t="s">
        <v>37</v>
      </c>
      <c r="F22" s="43"/>
      <c r="G22" s="40" t="str">
        <f>IF(AND(E22="",D22=""),"",IF(OR(E22="",E22='By category'!$C$6),"Needs you",IF(E22&lt;&gt;O22,"You decided",IF(F22&lt;&gt;"","You checked",P22))))</f>
        <v>You said</v>
      </c>
      <c r="H22" s="44" t="s">
        <v>38</v>
      </c>
      <c r="I22" s="44" t="s">
        <v>31</v>
      </c>
      <c r="J22" s="45">
        <v>7406.67</v>
      </c>
      <c r="K22" s="38">
        <v>27</v>
      </c>
      <c r="L22" s="46" t="s">
        <v>31</v>
      </c>
      <c r="M22" s="1">
        <f>IF(B22="","",DATE(YEAR(B22),MONTH(B22),1))</f>
        <v>46266.0</v>
      </c>
      <c r="N22" s="1" t="str">
        <f>IF(D22="","",IF(E22="",'By category'!$B$6,IFERROR(INDEX('By category'!$B$6:$B$31,MATCH(E22,'By category'!$C$6:$C$31,0)),"none")))</f>
        <v>Spending</v>
      </c>
      <c r="O22" s="1" t="s">
        <v>37</v>
      </c>
      <c r="P22" s="1" t="s">
        <v>32</v>
      </c>
      <c r="Q22" s="1">
        <f>IF(AND(J22&lt;&gt;"",N22&lt;&gt;'By category'!$B$28),J22,Q21)</f>
        <v>7406.67</v>
      </c>
      <c r="R22" s="1">
        <f>IF(OR(J22="",D22="",N22='By category'!$B$28,Q21=""),0,IF(ABS(Q21+D22-J22)&gt;0.005,1,0))</f>
        <v>0.0</v>
      </c>
      <c r="T22" s="1" t="str">
        <f>IF(R22=1,Q21+D22,"")</f>
        <v/>
      </c>
      <c r="V22" s="1">
        <f>IF(D22="",1,IF(OR(ABS(D22-'As read'!$A$22)&gt;0.005,B22&lt;&gt;'As read'!$B$22),1,0))</f>
        <v>0.0</v>
      </c>
      <c r="W22" s="1">
        <f>IF(J22="",IF('As read'!$C$22="",0,1),IF('As read'!$C$22="",1,IF(ABS(J22-'As read'!$C$22)&gt;0.005,1,0)))</f>
        <v>0.0</v>
      </c>
      <c r="X22" s="1">
        <f>IF(AND(N22='By category'!$B$28,O22&lt;&gt;E22),1,0)</f>
        <v>0.0</v>
      </c>
      <c r="Y22" s="1">
        <f>IF(AND(U22=1,N22&lt;&gt;"Loan money",N22&lt;&gt;'By category'!$B$28,N22&lt;&gt;"Undecided"),1,0)</f>
        <v>0.0</v>
      </c>
    </row>
    <row r="23" spans="1:25">
      <c r="A23" s="38">
        <v>18</v>
      </c>
      <c r="B23" s="39">
        <v>46269</v>
      </c>
      <c r="C23" s="40" t="s">
        <v>74</v>
      </c>
      <c r="D23" s="41">
        <v>5240</v>
      </c>
      <c r="E23" s="42" t="s">
        <v>34</v>
      </c>
      <c r="F23" s="43"/>
      <c r="G23" s="40" t="str">
        <f>IF(AND(E23="",D23=""),"",IF(OR(E23="",E23='By category'!$C$6),"Needs you",IF(E23&lt;&gt;O23,"You decided",IF(F23&lt;&gt;"","You checked",P23))))</f>
        <v>You said</v>
      </c>
      <c r="H23" s="44" t="s">
        <v>75</v>
      </c>
      <c r="I23" s="44" t="s">
        <v>31</v>
      </c>
      <c r="J23" s="45">
        <v>12646.67</v>
      </c>
      <c r="K23" s="38">
        <v>28</v>
      </c>
      <c r="L23" s="46" t="s">
        <v>31</v>
      </c>
      <c r="M23" s="1">
        <f>IF(B23="","",DATE(YEAR(B23),MONTH(B23),1))</f>
        <v>46266.0</v>
      </c>
      <c r="N23" s="1" t="str">
        <f>IF(D23="","",IF(E23="",'By category'!$B$6,IFERROR(INDEX('By category'!$B$6:$B$31,MATCH(E23,'By category'!$C$6:$C$31,0)),"none")))</f>
        <v>Money in</v>
      </c>
      <c r="O23" s="1" t="s">
        <v>34</v>
      </c>
      <c r="P23" s="1" t="s">
        <v>32</v>
      </c>
      <c r="Q23" s="1">
        <f>IF(AND(J23&lt;&gt;"",N23&lt;&gt;'By category'!$B$28),J23,Q22)</f>
        <v>12646.67</v>
      </c>
      <c r="R23" s="1">
        <f>IF(OR(J23="",D23="",N23='By category'!$B$28,Q22=""),0,IF(ABS(Q22+D23-J23)&gt;0.005,1,0))</f>
        <v>0.0</v>
      </c>
      <c r="T23" s="1" t="str">
        <f>IF(R23=1,Q22+D23,"")</f>
        <v/>
      </c>
      <c r="V23" s="1">
        <f>IF(D23="",1,IF(OR(ABS(D23-'As read'!$A$23)&gt;0.005,B23&lt;&gt;'As read'!$B$23),1,0))</f>
        <v>0.0</v>
      </c>
      <c r="W23" s="1">
        <f>IF(J23="",IF('As read'!$C$23="",0,1),IF('As read'!$C$23="",1,IF(ABS(J23-'As read'!$C$23)&gt;0.005,1,0)))</f>
        <v>0.0</v>
      </c>
      <c r="X23" s="1">
        <f>IF(AND(N23='By category'!$B$28,O23&lt;&gt;E23),1,0)</f>
        <v>0.0</v>
      </c>
      <c r="Y23" s="1">
        <f>IF(AND(U23=1,N23&lt;&gt;"Loan money",N23&lt;&gt;'By category'!$B$28,N23&lt;&gt;"Undecided"),1,0)</f>
        <v>0.0</v>
      </c>
    </row>
    <row r="24" spans="1:25">
      <c r="A24" s="38">
        <v>19</v>
      </c>
      <c r="B24" s="39">
        <v>46270</v>
      </c>
      <c r="C24" s="40" t="s">
        <v>76</v>
      </c>
      <c r="D24" s="41">
        <v>-4280</v>
      </c>
      <c r="E24" s="42" t="s">
        <v>77</v>
      </c>
      <c r="F24" s="43"/>
      <c r="G24" s="40" t="str">
        <f>IF(AND(E24="",D24=""),"",IF(OR(E24="",E24='By category'!$C$6),"Needs you",IF(E24&lt;&gt;O24,"You decided",IF(F24&lt;&gt;"","You checked",P24))))</f>
        <v>You said</v>
      </c>
      <c r="H24" s="44" t="s">
        <v>78</v>
      </c>
      <c r="I24" s="44" t="s">
        <v>31</v>
      </c>
      <c r="J24" s="45">
        <v>8366.67</v>
      </c>
      <c r="K24" s="38">
        <v>29</v>
      </c>
      <c r="L24" s="46" t="s">
        <v>31</v>
      </c>
      <c r="M24" s="1">
        <f>IF(B24="","",DATE(YEAR(B24),MONTH(B24),1))</f>
        <v>46266.0</v>
      </c>
      <c r="N24" s="1" t="str">
        <f>IF(D24="","",IF(E24="",'By category'!$B$6,IFERROR(INDEX('By category'!$B$6:$B$31,MATCH(E24,'By category'!$C$6:$C$31,0)),"none")))</f>
        <v>Large purchases</v>
      </c>
      <c r="O24" s="1" t="s">
        <v>77</v>
      </c>
      <c r="P24" s="1" t="s">
        <v>32</v>
      </c>
      <c r="Q24" s="1">
        <f>IF(AND(J24&lt;&gt;"",N24&lt;&gt;'By category'!$B$28),J24,Q23)</f>
        <v>8366.67</v>
      </c>
      <c r="R24" s="1">
        <f>IF(OR(J24="",D24="",N24='By category'!$B$28,Q23=""),0,IF(ABS(Q23+D24-J24)&gt;0.005,1,0))</f>
        <v>0.0</v>
      </c>
      <c r="T24" s="1" t="str">
        <f>IF(R24=1,Q23+D24,"")</f>
        <v/>
      </c>
      <c r="V24" s="1">
        <f>IF(D24="",1,IF(OR(ABS(D24-'As read'!$A$24)&gt;0.005,B24&lt;&gt;'As read'!$B$24),1,0))</f>
        <v>0.0</v>
      </c>
      <c r="W24" s="1">
        <f>IF(J24="",IF('As read'!$C$24="",0,1),IF('As read'!$C$24="",1,IF(ABS(J24-'As read'!$C$24)&gt;0.005,1,0)))</f>
        <v>0.0</v>
      </c>
      <c r="X24" s="1">
        <f>IF(AND(N24='By category'!$B$28,O24&lt;&gt;E24),1,0)</f>
        <v>0.0</v>
      </c>
      <c r="Y24" s="1">
        <f>IF(AND(U24=1,N24&lt;&gt;"Loan money",N24&lt;&gt;'By category'!$B$28,N24&lt;&gt;"Undecided"),1,0)</f>
        <v>0.0</v>
      </c>
    </row>
    <row r="25" spans="1:25">
      <c r="A25" s="38">
        <v>20</v>
      </c>
      <c r="B25" s="39">
        <v>46273</v>
      </c>
      <c r="C25" s="40" t="s">
        <v>39</v>
      </c>
      <c r="D25" s="41">
        <v>-301.2</v>
      </c>
      <c r="E25" s="42" t="s">
        <v>40</v>
      </c>
      <c r="F25" s="43"/>
      <c r="G25" s="40" t="str">
        <f>IF(AND(E25="",D25=""),"",IF(OR(E25="",E25='By category'!$C$6),"Needs you",IF(E25&lt;&gt;O25,"You decided",IF(F25&lt;&gt;"","You checked",P25))))</f>
        <v>You said</v>
      </c>
      <c r="H25" s="44" t="s">
        <v>41</v>
      </c>
      <c r="I25" s="44" t="s">
        <v>31</v>
      </c>
      <c r="J25" s="45">
        <v>8065.47</v>
      </c>
      <c r="K25" s="38">
        <v>30</v>
      </c>
      <c r="L25" s="46" t="s">
        <v>31</v>
      </c>
      <c r="M25" s="1">
        <f>IF(B25="","",DATE(YEAR(B25),MONTH(B25),1))</f>
        <v>46266.0</v>
      </c>
      <c r="N25" s="1" t="str">
        <f>IF(D25="","",IF(E25="",'By category'!$B$6,IFERROR(INDEX('By category'!$B$6:$B$31,MATCH(E25,'By category'!$C$6:$C$31,0)),"none")))</f>
        <v>Spending</v>
      </c>
      <c r="O25" s="1" t="s">
        <v>40</v>
      </c>
      <c r="P25" s="1" t="s">
        <v>32</v>
      </c>
      <c r="Q25" s="1">
        <f>IF(AND(J25&lt;&gt;"",N25&lt;&gt;'By category'!$B$28),J25,Q24)</f>
        <v>8065.47</v>
      </c>
      <c r="R25" s="1">
        <f>IF(OR(J25="",D25="",N25='By category'!$B$28,Q24=""),0,IF(ABS(Q24+D25-J25)&gt;0.005,1,0))</f>
        <v>0.0</v>
      </c>
      <c r="T25" s="1" t="str">
        <f>IF(R25=1,Q24+D25,"")</f>
        <v/>
      </c>
      <c r="V25" s="1">
        <f>IF(D25="",1,IF(OR(ABS(D25-'As read'!$A$25)&gt;0.005,B25&lt;&gt;'As read'!$B$25),1,0))</f>
        <v>0.0</v>
      </c>
      <c r="W25" s="1">
        <f>IF(J25="",IF('As read'!$C$25="",0,1),IF('As read'!$C$25="",1,IF(ABS(J25-'As read'!$C$25)&gt;0.005,1,0)))</f>
        <v>0.0</v>
      </c>
      <c r="X25" s="1">
        <f>IF(AND(N25='By category'!$B$28,O25&lt;&gt;E25),1,0)</f>
        <v>0.0</v>
      </c>
      <c r="Y25" s="1">
        <f>IF(AND(U25=1,N25&lt;&gt;"Loan money",N25&lt;&gt;'By category'!$B$28,N25&lt;&gt;"Undecided"),1,0)</f>
        <v>0.0</v>
      </c>
    </row>
    <row r="26" spans="1:25">
      <c r="A26" s="38">
        <v>21</v>
      </c>
      <c r="B26" s="39">
        <v>46275</v>
      </c>
      <c r="C26" s="40" t="s">
        <v>79</v>
      </c>
      <c r="D26" s="41">
        <v>-950</v>
      </c>
      <c r="E26" s="42" t="s">
        <v>46</v>
      </c>
      <c r="F26" s="43"/>
      <c r="G26" s="40" t="str">
        <f>IF(AND(E26="",D26=""),"",IF(OR(E26="",E26='By category'!$C$6),"Needs you",IF(E26&lt;&gt;O26,"You decided",IF(F26&lt;&gt;"","You checked",P26))))</f>
        <v>Needs you</v>
      </c>
      <c r="H26" s="44" t="s">
        <v>80</v>
      </c>
      <c r="I26" s="44" t="s">
        <v>31</v>
      </c>
      <c r="J26" s="45">
        <v>7115.47</v>
      </c>
      <c r="K26" s="38">
        <v>31</v>
      </c>
      <c r="L26" s="46" t="s">
        <v>31</v>
      </c>
      <c r="M26" s="1">
        <f>IF(B26="","",DATE(YEAR(B26),MONTH(B26),1))</f>
        <v>46266.0</v>
      </c>
      <c r="N26" s="1" t="str">
        <f>IF(D26="","",IF(E26="",'By category'!$B$6,IFERROR(INDEX('By category'!$B$6:$B$31,MATCH(E26,'By category'!$C$6:$C$31,0)),"none")))</f>
        <v>Undecided</v>
      </c>
      <c r="O26" s="1" t="s">
        <v>46</v>
      </c>
      <c r="P26" s="1" t="s">
        <v>31</v>
      </c>
      <c r="Q26" s="1">
        <f>IF(AND(J26&lt;&gt;"",N26&lt;&gt;'By category'!$B$28),J26,Q25)</f>
        <v>7115.47</v>
      </c>
      <c r="R26" s="1">
        <f>IF(OR(J26="",D26="",N26='By category'!$B$28,Q25=""),0,IF(ABS(Q25+D26-J26)&gt;0.005,1,0))</f>
        <v>0.0</v>
      </c>
      <c r="T26" s="1" t="str">
        <f>IF(R26=1,Q25+D26,"")</f>
        <v/>
      </c>
      <c r="V26" s="1">
        <f>IF(D26="",1,IF(OR(ABS(D26-'As read'!$A$26)&gt;0.005,B26&lt;&gt;'As read'!$B$26),1,0))</f>
        <v>0.0</v>
      </c>
      <c r="W26" s="1">
        <f>IF(J26="",IF('As read'!$C$26="",0,1),IF('As read'!$C$26="",1,IF(ABS(J26-'As read'!$C$26)&gt;0.005,1,0)))</f>
        <v>0.0</v>
      </c>
      <c r="X26" s="1">
        <f>IF(AND(N26='By category'!$B$28,O26&lt;&gt;E26),1,0)</f>
        <v>0.0</v>
      </c>
      <c r="Y26" s="1">
        <f>IF(AND(U26=1,N26&lt;&gt;"Loan money",N26&lt;&gt;'By category'!$B$28,N26&lt;&gt;"Undecided"),1,0)</f>
        <v>0.0</v>
      </c>
    </row>
    <row r="27" spans="1:25">
      <c r="A27" s="38">
        <v>22</v>
      </c>
      <c r="B27" s="39">
        <v>46277</v>
      </c>
      <c r="C27" s="40" t="s">
        <v>81</v>
      </c>
      <c r="D27" s="41">
        <v>-39.66</v>
      </c>
      <c r="E27" s="42" t="s">
        <v>52</v>
      </c>
      <c r="F27" s="43"/>
      <c r="G27" s="40" t="str">
        <f>IF(AND(E27="",D27=""),"",IF(OR(E27="",E27='By category'!$C$6),"Needs you",IF(E27&lt;&gt;O27,"You decided",IF(F27&lt;&gt;"","You checked",P27))))</f>
        <v>Our guess, not checked</v>
      </c>
      <c r="H27" s="44" t="s">
        <v>53</v>
      </c>
      <c r="I27" s="44" t="s">
        <v>31</v>
      </c>
      <c r="J27" s="45">
        <v>7075.81</v>
      </c>
      <c r="K27" s="38">
        <v>32</v>
      </c>
      <c r="L27" s="46" t="s">
        <v>31</v>
      </c>
      <c r="M27" s="1">
        <f>IF(B27="","",DATE(YEAR(B27),MONTH(B27),1))</f>
        <v>46266.0</v>
      </c>
      <c r="N27" s="1" t="str">
        <f>IF(D27="","",IF(E27="",'By category'!$B$6,IFERROR(INDEX('By category'!$B$6:$B$31,MATCH(E27,'By category'!$C$6:$C$31,0)),"none")))</f>
        <v>Spending</v>
      </c>
      <c r="O27" s="1" t="s">
        <v>52</v>
      </c>
      <c r="P27" s="1" t="s">
        <v>54</v>
      </c>
      <c r="Q27" s="1">
        <f>IF(AND(J27&lt;&gt;"",N27&lt;&gt;'By category'!$B$28),J27,Q26)</f>
        <v>7075.81</v>
      </c>
      <c r="R27" s="1">
        <f>IF(OR(J27="",D27="",N27='By category'!$B$28,Q26=""),0,IF(ABS(Q26+D27-J27)&gt;0.005,1,0))</f>
        <v>0.0</v>
      </c>
      <c r="T27" s="1" t="str">
        <f>IF(R27=1,Q26+D27,"")</f>
        <v/>
      </c>
      <c r="V27" s="1">
        <f>IF(D27="",1,IF(OR(ABS(D27-'As read'!$A$27)&gt;0.005,B27&lt;&gt;'As read'!$B$27),1,0))</f>
        <v>0.0</v>
      </c>
      <c r="W27" s="1">
        <f>IF(J27="",IF('As read'!$C$27="",0,1),IF('As read'!$C$27="",1,IF(ABS(J27-'As read'!$C$27)&gt;0.005,1,0)))</f>
        <v>0.0</v>
      </c>
      <c r="X27" s="1">
        <f>IF(AND(N27='By category'!$B$28,O27&lt;&gt;E27),1,0)</f>
        <v>0.0</v>
      </c>
      <c r="Y27" s="1">
        <f>IF(AND(U27=1,N27&lt;&gt;"Loan money",N27&lt;&gt;'By category'!$B$28,N27&lt;&gt;"Undecided"),1,0)</f>
        <v>0.0</v>
      </c>
    </row>
    <row r="28" spans="1:25">
      <c r="A28" s="38">
        <v>23</v>
      </c>
      <c r="B28" s="39">
        <v>46277</v>
      </c>
      <c r="C28" s="40" t="s">
        <v>82</v>
      </c>
      <c r="D28" s="41">
        <v>-220</v>
      </c>
      <c r="E28" s="42" t="s">
        <v>83</v>
      </c>
      <c r="F28" s="43"/>
      <c r="G28" s="40" t="str">
        <f>IF(AND(E28="",D28=""),"",IF(OR(E28="",E28='By category'!$C$6),"Needs you",IF(E28&lt;&gt;O28,"You decided",IF(F28&lt;&gt;"","You checked",P28))))</f>
        <v>Our guess, not checked</v>
      </c>
      <c r="H28" s="44" t="s">
        <v>84</v>
      </c>
      <c r="I28" s="44" t="s">
        <v>31</v>
      </c>
      <c r="J28" s="45">
        <v>6855.81</v>
      </c>
      <c r="K28" s="38">
        <v>33</v>
      </c>
      <c r="L28" s="46" t="s">
        <v>31</v>
      </c>
      <c r="M28" s="1">
        <f>IF(B28="","",DATE(YEAR(B28),MONTH(B28),1))</f>
        <v>46266.0</v>
      </c>
      <c r="N28" s="1" t="str">
        <f>IF(D28="","",IF(E28="",'By category'!$B$6,IFERROR(INDEX('By category'!$B$6:$B$31,MATCH(E28,'By category'!$C$6:$C$31,0)),"none")))</f>
        <v>Spending</v>
      </c>
      <c r="O28" s="1" t="s">
        <v>83</v>
      </c>
      <c r="P28" s="1" t="s">
        <v>54</v>
      </c>
      <c r="Q28" s="1">
        <f>IF(AND(J28&lt;&gt;"",N28&lt;&gt;'By category'!$B$28),J28,Q27)</f>
        <v>6855.81</v>
      </c>
      <c r="R28" s="1">
        <f>IF(OR(J28="",D28="",N28='By category'!$B$28,Q27=""),0,IF(ABS(Q27+D28-J28)&gt;0.005,1,0))</f>
        <v>0.0</v>
      </c>
      <c r="T28" s="1" t="str">
        <f>IF(R28=1,Q27+D28,"")</f>
        <v/>
      </c>
      <c r="V28" s="1">
        <f>IF(D28="",1,IF(OR(ABS(D28-'As read'!$A$28)&gt;0.005,B28&lt;&gt;'As read'!$B$28),1,0))</f>
        <v>0.0</v>
      </c>
      <c r="W28" s="1">
        <f>IF(J28="",IF('As read'!$C$28="",0,1),IF('As read'!$C$28="",1,IF(ABS(J28-'As read'!$C$28)&gt;0.005,1,0)))</f>
        <v>0.0</v>
      </c>
      <c r="X28" s="1">
        <f>IF(AND(N28='By category'!$B$28,O28&lt;&gt;E28),1,0)</f>
        <v>0.0</v>
      </c>
      <c r="Y28" s="1">
        <f>IF(AND(U28=1,N28&lt;&gt;"Loan money",N28&lt;&gt;'By category'!$B$28,N28&lt;&gt;"Undecided"),1,0)</f>
        <v>0.0</v>
      </c>
    </row>
    <row r="29" spans="1:25">
      <c r="A29" s="38">
        <v>24</v>
      </c>
      <c r="B29" s="39">
        <v>46279</v>
      </c>
      <c r="C29" s="40" t="s">
        <v>55</v>
      </c>
      <c r="D29" s="41">
        <v>-65</v>
      </c>
      <c r="E29" s="42" t="s">
        <v>56</v>
      </c>
      <c r="F29" s="43"/>
      <c r="G29" s="40" t="str">
        <f>IF(AND(E29="",D29=""),"",IF(OR(E29="",E29='By category'!$C$6),"Needs you",IF(E29&lt;&gt;O29,"You decided",IF(F29&lt;&gt;"","You checked",P29))))</f>
        <v>You said</v>
      </c>
      <c r="H29" s="44" t="s">
        <v>57</v>
      </c>
      <c r="I29" s="44" t="s">
        <v>31</v>
      </c>
      <c r="J29" s="45">
        <v>6790.81</v>
      </c>
      <c r="K29" s="38">
        <v>34</v>
      </c>
      <c r="L29" s="46" t="s">
        <v>31</v>
      </c>
      <c r="M29" s="1">
        <f>IF(B29="","",DATE(YEAR(B29),MONTH(B29),1))</f>
        <v>46266.0</v>
      </c>
      <c r="N29" s="1" t="str">
        <f>IF(D29="","",IF(E29="",'By category'!$B$6,IFERROR(INDEX('By category'!$B$6:$B$31,MATCH(E29,'By category'!$C$6:$C$31,0)),"none")))</f>
        <v>Spending</v>
      </c>
      <c r="O29" s="1" t="s">
        <v>56</v>
      </c>
      <c r="P29" s="1" t="s">
        <v>32</v>
      </c>
      <c r="Q29" s="1">
        <f>IF(AND(J29&lt;&gt;"",N29&lt;&gt;'By category'!$B$28),J29,Q28)</f>
        <v>6790.81</v>
      </c>
      <c r="R29" s="1">
        <f>IF(OR(J29="",D29="",N29='By category'!$B$28,Q28=""),0,IF(ABS(Q28+D29-J29)&gt;0.005,1,0))</f>
        <v>0.0</v>
      </c>
      <c r="T29" s="1" t="str">
        <f>IF(R29=1,Q28+D29,"")</f>
        <v/>
      </c>
      <c r="V29" s="1">
        <f>IF(D29="",1,IF(OR(ABS(D29-'As read'!$A$29)&gt;0.005,B29&lt;&gt;'As read'!$B$29),1,0))</f>
        <v>0.0</v>
      </c>
      <c r="W29" s="1">
        <f>IF(J29="",IF('As read'!$C$29="",0,1),IF('As read'!$C$29="",1,IF(ABS(J29-'As read'!$C$29)&gt;0.005,1,0)))</f>
        <v>0.0</v>
      </c>
      <c r="X29" s="1">
        <f>IF(AND(N29='By category'!$B$28,O29&lt;&gt;E29),1,0)</f>
        <v>0.0</v>
      </c>
      <c r="Y29" s="1">
        <f>IF(AND(U29=1,N29&lt;&gt;"Loan money",N29&lt;&gt;'By category'!$B$28,N29&lt;&gt;"Undecided"),1,0)</f>
        <v>0.0</v>
      </c>
    </row>
    <row r="30" spans="1:25">
      <c r="A30" s="38">
        <v>25</v>
      </c>
      <c r="B30" s="39">
        <v>46283</v>
      </c>
      <c r="C30" s="40" t="s">
        <v>85</v>
      </c>
      <c r="D30" s="41">
        <v>-36.5</v>
      </c>
      <c r="E30" s="42" t="s">
        <v>86</v>
      </c>
      <c r="F30" s="43"/>
      <c r="G30" s="40" t="str">
        <f>IF(AND(E30="",D30=""),"",IF(OR(E30="",E30='By category'!$C$6),"Needs you",IF(E30&lt;&gt;O30,"You decided",IF(F30&lt;&gt;"","You checked",P30))))</f>
        <v>Our guess, not checked</v>
      </c>
      <c r="H30" s="44" t="s">
        <v>87</v>
      </c>
      <c r="I30" s="44" t="s">
        <v>31</v>
      </c>
      <c r="J30" s="45">
        <v>6754.31</v>
      </c>
      <c r="K30" s="38">
        <v>35</v>
      </c>
      <c r="L30" s="46" t="s">
        <v>14</v>
      </c>
      <c r="M30" s="1">
        <f>IF(B30="","",DATE(YEAR(B30),MONTH(B30),1))</f>
        <v>46266.0</v>
      </c>
      <c r="N30" s="1" t="str">
        <f>IF(D30="","",IF(E30="",'By category'!$B$6,IFERROR(INDEX('By category'!$B$6:$B$31,MATCH(E30,'By category'!$C$6:$C$31,0)),"none")))</f>
        <v>Spending</v>
      </c>
      <c r="O30" s="1" t="s">
        <v>86</v>
      </c>
      <c r="P30" s="1" t="s">
        <v>54</v>
      </c>
      <c r="Q30" s="1">
        <f>IF(AND(J30&lt;&gt;"",N30&lt;&gt;'By category'!$B$28),J30,Q29)</f>
        <v>6754.31</v>
      </c>
      <c r="R30" s="1">
        <f>IF(OR(J30="",D30="",N30='By category'!$B$28,Q29=""),0,IF(ABS(Q29+D30-J30)&gt;0.005,1,0))</f>
        <v>0.0</v>
      </c>
      <c r="T30" s="1" t="str">
        <f>IF(R30=1,Q29+D30,"")</f>
        <v/>
      </c>
      <c r="V30" s="1">
        <f>IF(D30="",1,IF(OR(ABS(D30-'As read'!$A$30)&gt;0.005,B30&lt;&gt;'As read'!$B$30),1,0))</f>
        <v>0.0</v>
      </c>
      <c r="W30" s="1">
        <f>IF(J30="",IF('As read'!$C$30="",0,1),IF('As read'!$C$30="",1,IF(ABS(J30-'As read'!$C$30)&gt;0.005,1,0)))</f>
        <v>0.0</v>
      </c>
      <c r="X30" s="1">
        <f>IF(AND(N30='By category'!$B$28,O30&lt;&gt;E30),1,0)</f>
        <v>0.0</v>
      </c>
      <c r="Y30" s="1">
        <f>IF(AND(U30=1,N30&lt;&gt;"Loan money",N30&lt;&gt;'By category'!$B$28,N30&lt;&gt;"Undecided"),1,0)</f>
        <v>0.0</v>
      </c>
    </row>
    <row r="31" spans="1:25">
      <c r="A31" s="38">
        <v>26</v>
      </c>
      <c r="B31" s="39">
        <v>46283</v>
      </c>
      <c r="C31" s="40" t="s">
        <v>85</v>
      </c>
      <c r="D31" s="41">
        <v>-36.5</v>
      </c>
      <c r="E31" s="42" t="s">
        <v>46</v>
      </c>
      <c r="F31" s="43"/>
      <c r="G31" s="40" t="str">
        <f>IF(AND(E31="",D31=""),"",IF(OR(E31="",E31='By category'!$C$6),"Needs you",IF(E31&lt;&gt;O31,"You decided",IF(F31&lt;&gt;"","You checked",P31))))</f>
        <v>Needs you</v>
      </c>
      <c r="H31" s="44" t="s">
        <v>88</v>
      </c>
      <c r="I31" s="44" t="s">
        <v>31</v>
      </c>
      <c r="J31" s="45">
        <v>6717.81</v>
      </c>
      <c r="K31" s="38">
        <v>36</v>
      </c>
      <c r="L31" s="46" t="s">
        <v>14</v>
      </c>
      <c r="M31" s="1">
        <f>IF(B31="","",DATE(YEAR(B31),MONTH(B31),1))</f>
        <v>46266.0</v>
      </c>
      <c r="N31" s="1" t="str">
        <f>IF(D31="","",IF(E31="",'By category'!$B$6,IFERROR(INDEX('By category'!$B$6:$B$31,MATCH(E31,'By category'!$C$6:$C$31,0)),"none")))</f>
        <v>Undecided</v>
      </c>
      <c r="O31" s="1" t="s">
        <v>46</v>
      </c>
      <c r="P31" s="1" t="s">
        <v>31</v>
      </c>
      <c r="Q31" s="1">
        <f>IF(AND(J31&lt;&gt;"",N31&lt;&gt;'By category'!$B$28),J31,Q30)</f>
        <v>6717.81</v>
      </c>
      <c r="R31" s="1">
        <f>IF(OR(J31="",D31="",N31='By category'!$B$28,Q30=""),0,IF(ABS(Q30+D31-J31)&gt;0.005,1,0))</f>
        <v>0.0</v>
      </c>
      <c r="T31" s="1" t="str">
        <f>IF(R31=1,Q30+D31,"")</f>
        <v/>
      </c>
      <c r="V31" s="1">
        <f>IF(D31="",1,IF(OR(ABS(D31-'As read'!$A$31)&gt;0.005,B31&lt;&gt;'As read'!$B$31),1,0))</f>
        <v>0.0</v>
      </c>
      <c r="W31" s="1">
        <f>IF(J31="",IF('As read'!$C$31="",0,1),IF('As read'!$C$31="",1,IF(ABS(J31-'As read'!$C$31)&gt;0.005,1,0)))</f>
        <v>0.0</v>
      </c>
      <c r="X31" s="1">
        <f>IF(AND(N31='By category'!$B$28,O31&lt;&gt;E31),1,0)</f>
        <v>0.0</v>
      </c>
      <c r="Y31" s="1">
        <f>IF(AND(U31=1,N31&lt;&gt;"Loan money",N31&lt;&gt;'By category'!$B$28,N31&lt;&gt;"Undecided"),1,0)</f>
        <v>0.0</v>
      </c>
    </row>
    <row r="32" spans="1:25">
      <c r="A32" s="38">
        <v>27</v>
      </c>
      <c r="B32" s="39">
        <v>46287</v>
      </c>
      <c r="C32" s="40" t="s">
        <v>89</v>
      </c>
      <c r="D32" s="41">
        <v>-1860</v>
      </c>
      <c r="E32" s="42" t="s">
        <v>90</v>
      </c>
      <c r="F32" s="43"/>
      <c r="G32" s="40" t="str">
        <f>IF(AND(E32="",D32=""),"",IF(OR(E32="",E32='By category'!$C$6),"Needs you",IF(E32&lt;&gt;O32,"You decided",IF(F32&lt;&gt;"","You checked",P32))))</f>
        <v>You said</v>
      </c>
      <c r="H32" s="44" t="s">
        <v>91</v>
      </c>
      <c r="I32" s="44" t="s">
        <v>31</v>
      </c>
      <c r="J32" s="45">
        <v>4857.81</v>
      </c>
      <c r="K32" s="38">
        <v>37</v>
      </c>
      <c r="L32" s="46" t="s">
        <v>31</v>
      </c>
      <c r="M32" s="1">
        <f>IF(B32="","",DATE(YEAR(B32),MONTH(B32),1))</f>
        <v>46266.0</v>
      </c>
      <c r="N32" s="1" t="str">
        <f>IF(D32="","",IF(E32="",'By category'!$B$6,IFERROR(INDEX('By category'!$B$6:$B$31,MATCH(E32,'By category'!$C$6:$C$31,0)),"none")))</f>
        <v>Tax and government</v>
      </c>
      <c r="O32" s="1" t="s">
        <v>90</v>
      </c>
      <c r="P32" s="1" t="s">
        <v>32</v>
      </c>
      <c r="Q32" s="1">
        <f>IF(AND(J32&lt;&gt;"",N32&lt;&gt;'By category'!$B$28),J32,Q31)</f>
        <v>4857.81</v>
      </c>
      <c r="R32" s="1">
        <f>IF(OR(J32="",D32="",N32='By category'!$B$28,Q31=""),0,IF(ABS(Q31+D32-J32)&gt;0.005,1,0))</f>
        <v>0.0</v>
      </c>
      <c r="T32" s="1" t="str">
        <f>IF(R32=1,Q31+D32,"")</f>
        <v/>
      </c>
      <c r="V32" s="1">
        <f>IF(D32="",1,IF(OR(ABS(D32-'As read'!$A$32)&gt;0.005,B32&lt;&gt;'As read'!$B$32),1,0))</f>
        <v>0.0</v>
      </c>
      <c r="W32" s="1">
        <f>IF(J32="",IF('As read'!$C$32="",0,1),IF('As read'!$C$32="",1,IF(ABS(J32-'As read'!$C$32)&gt;0.005,1,0)))</f>
        <v>0.0</v>
      </c>
      <c r="X32" s="1">
        <f>IF(AND(N32='By category'!$B$28,O32&lt;&gt;E32),1,0)</f>
        <v>0.0</v>
      </c>
      <c r="Y32" s="1">
        <f>IF(AND(U32=1,N32&lt;&gt;"Loan money",N32&lt;&gt;'By category'!$B$28,N32&lt;&gt;"Undecided"),1,0)</f>
        <v>0.0</v>
      </c>
    </row>
    <row r="33" spans="1:25">
      <c r="A33" s="38">
        <v>28</v>
      </c>
      <c r="B33" s="39">
        <v>46291</v>
      </c>
      <c r="C33" s="40" t="s">
        <v>92</v>
      </c>
      <c r="D33" s="41">
        <v>64</v>
      </c>
      <c r="E33" s="42" t="s">
        <v>46</v>
      </c>
      <c r="F33" s="43"/>
      <c r="G33" s="40" t="str">
        <f>IF(AND(E33="",D33=""),"",IF(OR(E33="",E33='By category'!$C$6),"Needs you",IF(E33&lt;&gt;O33,"You decided",IF(F33&lt;&gt;"","You checked",P33))))</f>
        <v>Needs you</v>
      </c>
      <c r="H33" s="44" t="s">
        <v>93</v>
      </c>
      <c r="I33" s="44" t="s">
        <v>31</v>
      </c>
      <c r="J33" s="45">
        <v>4921.81</v>
      </c>
      <c r="K33" s="38">
        <v>38</v>
      </c>
      <c r="L33" s="46" t="s">
        <v>31</v>
      </c>
      <c r="M33" s="1">
        <f>IF(B33="","",DATE(YEAR(B33),MONTH(B33),1))</f>
        <v>46266.0</v>
      </c>
      <c r="N33" s="1" t="str">
        <f>IF(D33="","",IF(E33="",'By category'!$B$6,IFERROR(INDEX('By category'!$B$6:$B$31,MATCH(E33,'By category'!$C$6:$C$31,0)),"none")))</f>
        <v>Undecided</v>
      </c>
      <c r="O33" s="1" t="s">
        <v>46</v>
      </c>
      <c r="P33" s="1" t="s">
        <v>31</v>
      </c>
      <c r="Q33" s="1">
        <f>IF(AND(J33&lt;&gt;"",N33&lt;&gt;'By category'!$B$28),J33,Q32)</f>
        <v>4921.81</v>
      </c>
      <c r="R33" s="1">
        <f>IF(OR(J33="",D33="",N33='By category'!$B$28,Q32=""),0,IF(ABS(Q32+D33-J33)&gt;0.005,1,0))</f>
        <v>0.0</v>
      </c>
      <c r="T33" s="1" t="str">
        <f>IF(R33=1,Q32+D33,"")</f>
        <v/>
      </c>
      <c r="V33" s="1">
        <f>IF(D33="",1,IF(OR(ABS(D33-'As read'!$A$33)&gt;0.005,B33&lt;&gt;'As read'!$B$33),1,0))</f>
        <v>0.0</v>
      </c>
      <c r="W33" s="1">
        <f>IF(J33="",IF('As read'!$C$33="",0,1),IF('As read'!$C$33="",1,IF(ABS(J33-'As read'!$C$33)&gt;0.005,1,0)))</f>
        <v>0.0</v>
      </c>
      <c r="X33" s="1">
        <f>IF(AND(N33='By category'!$B$28,O33&lt;&gt;E33),1,0)</f>
        <v>0.0</v>
      </c>
      <c r="Y33" s="1">
        <f>IF(AND(U33=1,N33&lt;&gt;"Loan money",N33&lt;&gt;'By category'!$B$28,N33&lt;&gt;"Undecided"),1,0)</f>
        <v>0.0</v>
      </c>
    </row>
    <row r="34" spans="1:25">
      <c r="A34" s="38">
        <v>29</v>
      </c>
      <c r="B34" s="39">
        <v>46293</v>
      </c>
      <c r="C34" s="40" t="s">
        <v>68</v>
      </c>
      <c r="D34" s="41">
        <v>-39</v>
      </c>
      <c r="E34" s="42" t="s">
        <v>69</v>
      </c>
      <c r="F34" s="43"/>
      <c r="G34" s="40" t="str">
        <f>IF(AND(E34="",D34=""),"",IF(OR(E34="",E34='By category'!$C$6),"Needs you",IF(E34&lt;&gt;O34,"You decided",IF(F34&lt;&gt;"","You checked",P34))))</f>
        <v>You said</v>
      </c>
      <c r="H34" s="44" t="s">
        <v>70</v>
      </c>
      <c r="I34" s="44" t="s">
        <v>31</v>
      </c>
      <c r="J34" s="45">
        <v>4882.81</v>
      </c>
      <c r="K34" s="38">
        <v>39</v>
      </c>
      <c r="L34" s="46" t="s">
        <v>31</v>
      </c>
      <c r="M34" s="1">
        <f>IF(B34="","",DATE(YEAR(B34),MONTH(B34),1))</f>
        <v>46266.0</v>
      </c>
      <c r="N34" s="1" t="str">
        <f>IF(D34="","",IF(E34="",'By category'!$B$6,IFERROR(INDEX('By category'!$B$6:$B$31,MATCH(E34,'By category'!$C$6:$C$31,0)),"none")))</f>
        <v>Spending</v>
      </c>
      <c r="O34" s="1" t="s">
        <v>69</v>
      </c>
      <c r="P34" s="1" t="s">
        <v>32</v>
      </c>
      <c r="Q34" s="1">
        <f>IF(AND(J34&lt;&gt;"",N34&lt;&gt;'By category'!$B$28),J34,Q33)</f>
        <v>4882.81</v>
      </c>
      <c r="R34" s="1">
        <f>IF(OR(J34="",D34="",N34='By category'!$B$28,Q33=""),0,IF(ABS(Q33+D34-J34)&gt;0.005,1,0))</f>
        <v>0.0</v>
      </c>
      <c r="T34" s="1" t="str">
        <f>IF(R34=1,Q33+D34,"")</f>
        <v/>
      </c>
      <c r="V34" s="1">
        <f>IF(D34="",1,IF(OR(ABS(D34-'As read'!$A$34)&gt;0.005,B34&lt;&gt;'As read'!$B$34),1,0))</f>
        <v>0.0</v>
      </c>
      <c r="W34" s="1">
        <f>IF(J34="",IF('As read'!$C$34="",0,1),IF('As read'!$C$34="",1,IF(ABS(J34-'As read'!$C$34)&gt;0.005,1,0)))</f>
        <v>0.0</v>
      </c>
      <c r="X34" s="1">
        <f>IF(AND(N34='By category'!$B$28,O34&lt;&gt;E34),1,0)</f>
        <v>0.0</v>
      </c>
      <c r="Y34" s="1">
        <f>IF(AND(U34=1,N34&lt;&gt;"Loan money",N34&lt;&gt;'By category'!$B$28,N34&lt;&gt;"Undecided"),1,0)</f>
        <v>0.0</v>
      </c>
    </row>
    <row r="35" spans="1:25">
      <c r="A35" s="38">
        <v>30</v>
      </c>
      <c r="B35" s="39">
        <v>46296</v>
      </c>
      <c r="C35" s="40" t="s">
        <v>71</v>
      </c>
      <c r="D35" s="41">
        <v>-2150</v>
      </c>
      <c r="E35" s="42" t="s">
        <v>29</v>
      </c>
      <c r="F35" s="43"/>
      <c r="G35" s="40" t="str">
        <f>IF(AND(E35="",D35=""),"",IF(OR(E35="",E35='By category'!$C$6),"Needs you",IF(E35&lt;&gt;O35,"You decided",IF(F35&lt;&gt;"","You checked",P35))))</f>
        <v>You said</v>
      </c>
      <c r="H35" s="44" t="s">
        <v>30</v>
      </c>
      <c r="I35" s="44" t="s">
        <v>31</v>
      </c>
      <c r="J35" s="45">
        <v>2732.81</v>
      </c>
      <c r="K35" s="38">
        <v>43</v>
      </c>
      <c r="L35" s="46" t="s">
        <v>31</v>
      </c>
      <c r="M35" s="1">
        <f>IF(B35="","",DATE(YEAR(B35),MONTH(B35),1))</f>
        <v>46296.0</v>
      </c>
      <c r="N35" s="1" t="str">
        <f>IF(D35="","",IF(E35="",'By category'!$B$6,IFERROR(INDEX('By category'!$B$6:$B$31,MATCH(E35,'By category'!$C$6:$C$31,0)),"none")))</f>
        <v>Spending</v>
      </c>
      <c r="O35" s="1" t="s">
        <v>29</v>
      </c>
      <c r="P35" s="1" t="s">
        <v>32</v>
      </c>
      <c r="Q35" s="1">
        <f>IF(AND(J35&lt;&gt;"",N35&lt;&gt;'By category'!$B$28),J35,Q34)</f>
        <v>2732.81</v>
      </c>
      <c r="R35" s="1">
        <f>IF(OR(J35="",D35="",N35='By category'!$B$28,Q34=""),0,IF(ABS(Q34+D35-J35)&gt;0.005,1,0))</f>
        <v>0.0</v>
      </c>
      <c r="T35" s="1" t="str">
        <f>IF(R35=1,Q34+D35,"")</f>
        <v/>
      </c>
      <c r="V35" s="1">
        <f>IF(D35="",1,IF(OR(ABS(D35-'As read'!$A$35)&gt;0.005,B35&lt;&gt;'As read'!$B$35),1,0))</f>
        <v>0.0</v>
      </c>
      <c r="W35" s="1">
        <f>IF(J35="",IF('As read'!$C$35="",0,1),IF('As read'!$C$35="",1,IF(ABS(J35-'As read'!$C$35)&gt;0.005,1,0)))</f>
        <v>0.0</v>
      </c>
      <c r="X35" s="1">
        <f>IF(AND(N35='By category'!$B$28,O35&lt;&gt;E35),1,0)</f>
        <v>0.0</v>
      </c>
      <c r="Y35" s="1">
        <f>IF(AND(U35=1,N35&lt;&gt;"Loan money",N35&lt;&gt;'By category'!$B$28,N35&lt;&gt;"Undecided"),1,0)</f>
        <v>0.0</v>
      </c>
    </row>
    <row r="36" spans="1:25">
      <c r="A36" s="38">
        <v>31</v>
      </c>
      <c r="B36" s="39">
        <v>46297</v>
      </c>
      <c r="C36" s="40" t="s">
        <v>94</v>
      </c>
      <c r="D36" s="41">
        <v>2975</v>
      </c>
      <c r="E36" s="42" t="s">
        <v>34</v>
      </c>
      <c r="F36" s="43"/>
      <c r="G36" s="40" t="str">
        <f>IF(AND(E36="",D36=""),"",IF(OR(E36="",E36='By category'!$C$6),"Needs you",IF(E36&lt;&gt;O36,"You decided",IF(F36&lt;&gt;"","You checked",P36))))</f>
        <v>You said</v>
      </c>
      <c r="H36" s="44" t="s">
        <v>35</v>
      </c>
      <c r="I36" s="44" t="s">
        <v>31</v>
      </c>
      <c r="J36" s="45">
        <v>5707.81</v>
      </c>
      <c r="K36" s="38">
        <v>44</v>
      </c>
      <c r="L36" s="46" t="s">
        <v>31</v>
      </c>
      <c r="M36" s="1">
        <f>IF(B36="","",DATE(YEAR(B36),MONTH(B36),1))</f>
        <v>46296.0</v>
      </c>
      <c r="N36" s="1" t="str">
        <f>IF(D36="","",IF(E36="",'By category'!$B$6,IFERROR(INDEX('By category'!$B$6:$B$31,MATCH(E36,'By category'!$C$6:$C$31,0)),"none")))</f>
        <v>Money in</v>
      </c>
      <c r="O36" s="1" t="s">
        <v>34</v>
      </c>
      <c r="P36" s="1" t="s">
        <v>32</v>
      </c>
      <c r="Q36" s="1">
        <f>IF(AND(J36&lt;&gt;"",N36&lt;&gt;'By category'!$B$28),J36,Q35)</f>
        <v>5707.81</v>
      </c>
      <c r="R36" s="1">
        <f>IF(OR(J36="",D36="",N36='By category'!$B$28,Q35=""),0,IF(ABS(Q35+D36-J36)&gt;0.005,1,0))</f>
        <v>0.0</v>
      </c>
      <c r="T36" s="1" t="str">
        <f>IF(R36=1,Q35+D36,"")</f>
        <v/>
      </c>
      <c r="V36" s="1">
        <f>IF(D36="",1,IF(OR(ABS(D36-'As read'!$A$36)&gt;0.005,B36&lt;&gt;'As read'!$B$36),1,0))</f>
        <v>0.0</v>
      </c>
      <c r="W36" s="1">
        <f>IF(J36="",IF('As read'!$C$36="",0,1),IF('As read'!$C$36="",1,IF(ABS(J36-'As read'!$C$36)&gt;0.005,1,0)))</f>
        <v>0.0</v>
      </c>
      <c r="X36" s="1">
        <f>IF(AND(N36='By category'!$B$28,O36&lt;&gt;E36),1,0)</f>
        <v>0.0</v>
      </c>
      <c r="Y36" s="1">
        <f>IF(AND(U36=1,N36&lt;&gt;"Loan money",N36&lt;&gt;'By category'!$B$28,N36&lt;&gt;"Undecided"),1,0)</f>
        <v>0.0</v>
      </c>
    </row>
    <row r="37" spans="1:25">
      <c r="A37" s="38">
        <v>32</v>
      </c>
      <c r="B37" s="39">
        <v>46301</v>
      </c>
      <c r="C37" s="40" t="s">
        <v>95</v>
      </c>
      <c r="D37" s="41">
        <v>-48.6</v>
      </c>
      <c r="E37" s="42" t="s">
        <v>46</v>
      </c>
      <c r="F37" s="43"/>
      <c r="G37" s="40" t="str">
        <f>IF(AND(E37="",D37=""),"",IF(OR(E37="",E37='By category'!$C$6),"Needs you",IF(E37&lt;&gt;O37,"You decided",IF(F37&lt;&gt;"","You checked",P37))))</f>
        <v>Needs you</v>
      </c>
      <c r="H37" s="44" t="s">
        <v>96</v>
      </c>
      <c r="I37" s="44" t="s">
        <v>48</v>
      </c>
      <c r="J37" s="45">
        <v>5659.21</v>
      </c>
      <c r="K37" s="38">
        <v>45</v>
      </c>
      <c r="L37" s="46" t="s">
        <v>31</v>
      </c>
      <c r="M37" s="1">
        <f>IF(B37="","",DATE(YEAR(B37),MONTH(B37),1))</f>
        <v>46296.0</v>
      </c>
      <c r="N37" s="1" t="str">
        <f>IF(D37="","",IF(E37="",'By category'!$B$6,IFERROR(INDEX('By category'!$B$6:$B$31,MATCH(E37,'By category'!$C$6:$C$31,0)),"none")))</f>
        <v>Undecided</v>
      </c>
      <c r="O37" s="1" t="s">
        <v>46</v>
      </c>
      <c r="P37" s="1" t="s">
        <v>31</v>
      </c>
      <c r="Q37" s="1">
        <f>IF(AND(J37&lt;&gt;"",N37&lt;&gt;'By category'!$B$28),J37,Q36)</f>
        <v>5659.21</v>
      </c>
      <c r="R37" s="1">
        <f>IF(OR(J37="",D37="",N37='By category'!$B$28,Q36=""),0,IF(ABS(Q36+D37-J37)&gt;0.005,1,0))</f>
        <v>0.0</v>
      </c>
      <c r="T37" s="1" t="str">
        <f>IF(R37=1,Q36+D37,"")</f>
        <v/>
      </c>
      <c r="V37" s="1">
        <f>IF(D37="",1,IF(OR(ABS(D37-'As read'!$A$37)&gt;0.005,B37&lt;&gt;'As read'!$B$37),1,0))</f>
        <v>0.0</v>
      </c>
      <c r="W37" s="1">
        <f>IF(J37="",IF('As read'!$C$37="",0,1),IF('As read'!$C$37="",1,IF(ABS(J37-'As read'!$C$37)&gt;0.005,1,0)))</f>
        <v>0.0</v>
      </c>
      <c r="X37" s="1">
        <f>IF(AND(N37='By category'!$B$28,O37&lt;&gt;E37),1,0)</f>
        <v>0.0</v>
      </c>
      <c r="Y37" s="1">
        <f>IF(AND(U37=1,N37&lt;&gt;"Loan money",N37&lt;&gt;'By category'!$B$28,N37&lt;&gt;"Undecided"),1,0)</f>
        <v>0.0</v>
      </c>
    </row>
    <row r="38" spans="1:25">
      <c r="A38" s="38">
        <v>33</v>
      </c>
      <c r="B38" s="39">
        <v>46302</v>
      </c>
      <c r="C38" s="40" t="s">
        <v>39</v>
      </c>
      <c r="D38" s="41">
        <v>-295.4</v>
      </c>
      <c r="E38" s="42" t="s">
        <v>40</v>
      </c>
      <c r="F38" s="43"/>
      <c r="G38" s="40" t="str">
        <f>IF(AND(E38="",D38=""),"",IF(OR(E38="",E38='By category'!$C$6),"Needs you",IF(E38&lt;&gt;O38,"You decided",IF(F38&lt;&gt;"","You checked",P38))))</f>
        <v>You said</v>
      </c>
      <c r="H38" s="44" t="s">
        <v>41</v>
      </c>
      <c r="I38" s="44" t="s">
        <v>31</v>
      </c>
      <c r="J38" s="45">
        <v>5363.81</v>
      </c>
      <c r="K38" s="38">
        <v>46</v>
      </c>
      <c r="L38" s="46" t="s">
        <v>31</v>
      </c>
      <c r="M38" s="1">
        <f>IF(B38="","",DATE(YEAR(B38),MONTH(B38),1))</f>
        <v>46296.0</v>
      </c>
      <c r="N38" s="1" t="str">
        <f>IF(D38="","",IF(E38="",'By category'!$B$6,IFERROR(INDEX('By category'!$B$6:$B$31,MATCH(E38,'By category'!$C$6:$C$31,0)),"none")))</f>
        <v>Spending</v>
      </c>
      <c r="O38" s="1" t="s">
        <v>40</v>
      </c>
      <c r="P38" s="1" t="s">
        <v>32</v>
      </c>
      <c r="Q38" s="1">
        <f>IF(AND(J38&lt;&gt;"",N38&lt;&gt;'By category'!$B$28),J38,Q37)</f>
        <v>5363.81</v>
      </c>
      <c r="R38" s="1">
        <f>IF(OR(J38="",D38="",N38='By category'!$B$28,Q37=""),0,IF(ABS(Q37+D38-J38)&gt;0.005,1,0))</f>
        <v>0.0</v>
      </c>
      <c r="T38" s="1" t="str">
        <f>IF(R38=1,Q37+D38,"")</f>
        <v/>
      </c>
      <c r="V38" s="1">
        <f>IF(D38="",1,IF(OR(ABS(D38-'As read'!$A$38)&gt;0.005,B38&lt;&gt;'As read'!$B$38),1,0))</f>
        <v>0.0</v>
      </c>
      <c r="W38" s="1">
        <f>IF(J38="",IF('As read'!$C$38="",0,1),IF('As read'!$C$38="",1,IF(ABS(J38-'As read'!$C$38)&gt;0.005,1,0)))</f>
        <v>0.0</v>
      </c>
      <c r="X38" s="1">
        <f>IF(AND(N38='By category'!$B$28,O38&lt;&gt;E38),1,0)</f>
        <v>0.0</v>
      </c>
      <c r="Y38" s="1">
        <f>IF(AND(U38=1,N38&lt;&gt;"Loan money",N38&lt;&gt;'By category'!$B$28,N38&lt;&gt;"Undecided"),1,0)</f>
        <v>0.0</v>
      </c>
    </row>
    <row r="39" spans="1:25">
      <c r="A39" s="38">
        <v>34</v>
      </c>
      <c r="B39" s="39">
        <v>46304</v>
      </c>
      <c r="C39" s="40" t="s">
        <v>42</v>
      </c>
      <c r="D39" s="41">
        <v>-1000</v>
      </c>
      <c r="E39" s="42" t="s">
        <v>43</v>
      </c>
      <c r="F39" s="43"/>
      <c r="G39" s="40" t="str">
        <f>IF(AND(E39="",D39=""),"",IF(OR(E39="",E39='By category'!$C$6),"Needs you",IF(E39&lt;&gt;O39,"You decided",IF(F39&lt;&gt;"","You checked",P39))))</f>
        <v>You said</v>
      </c>
      <c r="H39" s="44" t="s">
        <v>44</v>
      </c>
      <c r="I39" s="44" t="s">
        <v>31</v>
      </c>
      <c r="J39" s="45">
        <v>4363.81</v>
      </c>
      <c r="K39" s="38">
        <v>47</v>
      </c>
      <c r="L39" s="46" t="s">
        <v>31</v>
      </c>
      <c r="M39" s="1">
        <f>IF(B39="","",DATE(YEAR(B39),MONTH(B39),1))</f>
        <v>46296.0</v>
      </c>
      <c r="N39" s="1" t="str">
        <f>IF(D39="","",IF(E39="",'By category'!$B$6,IFERROR(INDEX('By category'!$B$6:$B$31,MATCH(E39,'By category'!$C$6:$C$31,0)),"none")))</f>
        <v>Between my accounts</v>
      </c>
      <c r="O39" s="1" t="s">
        <v>43</v>
      </c>
      <c r="P39" s="1" t="s">
        <v>32</v>
      </c>
      <c r="Q39" s="1">
        <f>IF(AND(J39&lt;&gt;"",N39&lt;&gt;'By category'!$B$28),J39,Q38)</f>
        <v>4363.81</v>
      </c>
      <c r="R39" s="1">
        <f>IF(OR(J39="",D39="",N39='By category'!$B$28,Q38=""),0,IF(ABS(Q38+D39-J39)&gt;0.005,1,0))</f>
        <v>0.0</v>
      </c>
      <c r="T39" s="1" t="str">
        <f>IF(R39=1,Q38+D39,"")</f>
        <v/>
      </c>
      <c r="V39" s="1">
        <f>IF(D39="",1,IF(OR(ABS(D39-'As read'!$A$39)&gt;0.005,B39&lt;&gt;'As read'!$B$39),1,0))</f>
        <v>0.0</v>
      </c>
      <c r="W39" s="1">
        <f>IF(J39="",IF('As read'!$C$39="",0,1),IF('As read'!$C$39="",1,IF(ABS(J39-'As read'!$C$39)&gt;0.005,1,0)))</f>
        <v>0.0</v>
      </c>
      <c r="X39" s="1">
        <f>IF(AND(N39='By category'!$B$28,O39&lt;&gt;E39),1,0)</f>
        <v>0.0</v>
      </c>
      <c r="Y39" s="1">
        <f>IF(AND(U39=1,N39&lt;&gt;"Loan money",N39&lt;&gt;'By category'!$B$28,N39&lt;&gt;"Undecided"),1,0)</f>
        <v>0.0</v>
      </c>
    </row>
    <row r="40" spans="1:25">
      <c r="A40" s="38">
        <v>35</v>
      </c>
      <c r="B40" s="39">
        <v>46307</v>
      </c>
      <c r="C40" s="40" t="s">
        <v>97</v>
      </c>
      <c r="D40" s="41">
        <v>-51.2</v>
      </c>
      <c r="E40" s="42" t="s">
        <v>52</v>
      </c>
      <c r="F40" s="43"/>
      <c r="G40" s="40" t="str">
        <f>IF(AND(E40="",D40=""),"",IF(OR(E40="",E40='By category'!$C$6),"Needs you",IF(E40&lt;&gt;O40,"You decided",IF(F40&lt;&gt;"","You checked",P40))))</f>
        <v>Our guess, not checked</v>
      </c>
      <c r="H40" s="44" t="s">
        <v>53</v>
      </c>
      <c r="I40" s="44" t="s">
        <v>31</v>
      </c>
      <c r="J40" s="45">
        <v>4312.61</v>
      </c>
      <c r="K40" s="38">
        <v>48</v>
      </c>
      <c r="L40" s="46" t="s">
        <v>31</v>
      </c>
      <c r="M40" s="1">
        <f>IF(B40="","",DATE(YEAR(B40),MONTH(B40),1))</f>
        <v>46296.0</v>
      </c>
      <c r="N40" s="1" t="str">
        <f>IF(D40="","",IF(E40="",'By category'!$B$6,IFERROR(INDEX('By category'!$B$6:$B$31,MATCH(E40,'By category'!$C$6:$C$31,0)),"none")))</f>
        <v>Spending</v>
      </c>
      <c r="O40" s="1" t="s">
        <v>52</v>
      </c>
      <c r="P40" s="1" t="s">
        <v>54</v>
      </c>
      <c r="Q40" s="1">
        <f>IF(AND(J40&lt;&gt;"",N40&lt;&gt;'By category'!$B$28),J40,Q39)</f>
        <v>4312.61</v>
      </c>
      <c r="R40" s="1">
        <f>IF(OR(J40="",D40="",N40='By category'!$B$28,Q39=""),0,IF(ABS(Q39+D40-J40)&gt;0.005,1,0))</f>
        <v>0.0</v>
      </c>
      <c r="T40" s="1" t="str">
        <f>IF(R40=1,Q39+D40,"")</f>
        <v/>
      </c>
      <c r="V40" s="1">
        <f>IF(D40="",1,IF(OR(ABS(D40-'As read'!$A$40)&gt;0.005,B40&lt;&gt;'As read'!$B$40),1,0))</f>
        <v>0.0</v>
      </c>
      <c r="W40" s="1">
        <f>IF(J40="",IF('As read'!$C$40="",0,1),IF('As read'!$C$40="",1,IF(ABS(J40-'As read'!$C$40)&gt;0.005,1,0)))</f>
        <v>0.0</v>
      </c>
      <c r="X40" s="1">
        <f>IF(AND(N40='By category'!$B$28,O40&lt;&gt;E40),1,0)</f>
        <v>0.0</v>
      </c>
      <c r="Y40" s="1">
        <f>IF(AND(U40=1,N40&lt;&gt;"Loan money",N40&lt;&gt;'By category'!$B$28,N40&lt;&gt;"Undecided"),1,0)</f>
        <v>0.0</v>
      </c>
    </row>
    <row r="41" spans="1:25">
      <c r="A41" s="38">
        <v>36</v>
      </c>
      <c r="B41" s="39">
        <v>46309</v>
      </c>
      <c r="C41" s="40" t="s">
        <v>55</v>
      </c>
      <c r="D41" s="41">
        <v>-65</v>
      </c>
      <c r="E41" s="42" t="s">
        <v>56</v>
      </c>
      <c r="F41" s="43"/>
      <c r="G41" s="40" t="str">
        <f>IF(AND(E41="",D41=""),"",IF(OR(E41="",E41='By category'!$C$6),"Needs you",IF(E41&lt;&gt;O41,"You decided",IF(F41&lt;&gt;"","You checked",P41))))</f>
        <v>You said</v>
      </c>
      <c r="H41" s="44" t="s">
        <v>57</v>
      </c>
      <c r="I41" s="44" t="s">
        <v>31</v>
      </c>
      <c r="J41" s="45">
        <v>4247.61</v>
      </c>
      <c r="K41" s="38">
        <v>49</v>
      </c>
      <c r="L41" s="46" t="s">
        <v>31</v>
      </c>
      <c r="M41" s="1">
        <f>IF(B41="","",DATE(YEAR(B41),MONTH(B41),1))</f>
        <v>46296.0</v>
      </c>
      <c r="N41" s="1" t="str">
        <f>IF(D41="","",IF(E41="",'By category'!$B$6,IFERROR(INDEX('By category'!$B$6:$B$31,MATCH(E41,'By category'!$C$6:$C$31,0)),"none")))</f>
        <v>Spending</v>
      </c>
      <c r="O41" s="1" t="s">
        <v>56</v>
      </c>
      <c r="P41" s="1" t="s">
        <v>32</v>
      </c>
      <c r="Q41" s="1">
        <f>IF(AND(J41&lt;&gt;"",N41&lt;&gt;'By category'!$B$28),J41,Q40)</f>
        <v>4247.61</v>
      </c>
      <c r="R41" s="1">
        <f>IF(OR(J41="",D41="",N41='By category'!$B$28,Q40=""),0,IF(ABS(Q40+D41-J41)&gt;0.005,1,0))</f>
        <v>0.0</v>
      </c>
      <c r="T41" s="1" t="str">
        <f>IF(R41=1,Q40+D41,"")</f>
        <v/>
      </c>
      <c r="V41" s="1">
        <f>IF(D41="",1,IF(OR(ABS(D41-'As read'!$A$41)&gt;0.005,B41&lt;&gt;'As read'!$B$41),1,0))</f>
        <v>0.0</v>
      </c>
      <c r="W41" s="1">
        <f>IF(J41="",IF('As read'!$C$41="",0,1),IF('As read'!$C$41="",1,IF(ABS(J41-'As read'!$C$41)&gt;0.005,1,0)))</f>
        <v>0.0</v>
      </c>
      <c r="X41" s="1">
        <f>IF(AND(N41='By category'!$B$28,O41&lt;&gt;E41),1,0)</f>
        <v>0.0</v>
      </c>
      <c r="Y41" s="1">
        <f>IF(AND(U41=1,N41&lt;&gt;"Loan money",N41&lt;&gt;'By category'!$B$28,N41&lt;&gt;"Undecided"),1,0)</f>
        <v>0.0</v>
      </c>
    </row>
    <row r="42" spans="1:25">
      <c r="A42" s="38">
        <v>37</v>
      </c>
      <c r="B42" s="39">
        <v>46310</v>
      </c>
      <c r="C42" s="40" t="s">
        <v>98</v>
      </c>
      <c r="D42" s="41">
        <v>980</v>
      </c>
      <c r="E42" s="42" t="s">
        <v>34</v>
      </c>
      <c r="F42" s="43"/>
      <c r="G42" s="40" t="str">
        <f>IF(AND(E42="",D42=""),"",IF(OR(E42="",E42='By category'!$C$6),"Needs you",IF(E42&lt;&gt;O42,"You decided",IF(F42&lt;&gt;"","You checked",P42))))</f>
        <v>Our guess, not checked</v>
      </c>
      <c r="H42" s="44" t="s">
        <v>99</v>
      </c>
      <c r="I42" s="44" t="s">
        <v>31</v>
      </c>
      <c r="J42" s="45">
        <v>5227.61</v>
      </c>
      <c r="K42" s="38">
        <v>50</v>
      </c>
      <c r="L42" s="46" t="s">
        <v>31</v>
      </c>
      <c r="M42" s="1">
        <f>IF(B42="","",DATE(YEAR(B42),MONTH(B42),1))</f>
        <v>46296.0</v>
      </c>
      <c r="N42" s="1" t="str">
        <f>IF(D42="","",IF(E42="",'By category'!$B$6,IFERROR(INDEX('By category'!$B$6:$B$31,MATCH(E42,'By category'!$C$6:$C$31,0)),"none")))</f>
        <v>Money in</v>
      </c>
      <c r="O42" s="1" t="s">
        <v>34</v>
      </c>
      <c r="P42" s="1" t="s">
        <v>54</v>
      </c>
      <c r="Q42" s="1">
        <f>IF(AND(J42&lt;&gt;"",N42&lt;&gt;'By category'!$B$28),J42,Q41)</f>
        <v>5227.61</v>
      </c>
      <c r="R42" s="1">
        <f>IF(OR(J42="",D42="",N42='By category'!$B$28,Q41=""),0,IF(ABS(Q41+D42-J42)&gt;0.005,1,0))</f>
        <v>0.0</v>
      </c>
      <c r="T42" s="1" t="str">
        <f>IF(R42=1,Q41+D42,"")</f>
        <v/>
      </c>
      <c r="V42" s="1">
        <f>IF(D42="",1,IF(OR(ABS(D42-'As read'!$A$42)&gt;0.005,B42&lt;&gt;'As read'!$B$42),1,0))</f>
        <v>0.0</v>
      </c>
      <c r="W42" s="1">
        <f>IF(J42="",IF('As read'!$C$42="",0,1),IF('As read'!$C$42="",1,IF(ABS(J42-'As read'!$C$42)&gt;0.005,1,0)))</f>
        <v>0.0</v>
      </c>
      <c r="X42" s="1">
        <f>IF(AND(N42='By category'!$B$28,O42&lt;&gt;E42),1,0)</f>
        <v>0.0</v>
      </c>
      <c r="Y42" s="1">
        <f>IF(AND(U42=1,N42&lt;&gt;"Loan money",N42&lt;&gt;'By category'!$B$28,N42&lt;&gt;"Undecided"),1,0)</f>
        <v>0.0</v>
      </c>
    </row>
    <row r="43" spans="1:25">
      <c r="A43" s="38">
        <v>38</v>
      </c>
      <c r="B43" s="39">
        <v>46315</v>
      </c>
      <c r="C43" s="40" t="s">
        <v>100</v>
      </c>
      <c r="D43" s="41">
        <v>-620</v>
      </c>
      <c r="E43" s="42" t="s">
        <v>46</v>
      </c>
      <c r="F43" s="43"/>
      <c r="G43" s="40" t="str">
        <f>IF(AND(E43="",D43=""),"",IF(OR(E43="",E43='By category'!$C$6),"Needs you",IF(E43&lt;&gt;O43,"You decided",IF(F43&lt;&gt;"","You checked",P43))))</f>
        <v>Needs you</v>
      </c>
      <c r="H43" s="44" t="s">
        <v>101</v>
      </c>
      <c r="I43" s="44" t="s">
        <v>102</v>
      </c>
      <c r="J43" s="45">
        <v>4607.61</v>
      </c>
      <c r="K43" s="38">
        <v>51</v>
      </c>
      <c r="L43" s="46" t="s">
        <v>31</v>
      </c>
      <c r="M43" s="1">
        <f>IF(B43="","",DATE(YEAR(B43),MONTH(B43),1))</f>
        <v>46296.0</v>
      </c>
      <c r="N43" s="1" t="str">
        <f>IF(D43="","",IF(E43="",'By category'!$B$6,IFERROR(INDEX('By category'!$B$6:$B$31,MATCH(E43,'By category'!$C$6:$C$31,0)),"none")))</f>
        <v>Undecided</v>
      </c>
      <c r="O43" s="1" t="s">
        <v>46</v>
      </c>
      <c r="P43" s="1" t="s">
        <v>31</v>
      </c>
      <c r="Q43" s="1">
        <f>IF(AND(J43&lt;&gt;"",N43&lt;&gt;'By category'!$B$28),J43,Q42)</f>
        <v>4607.61</v>
      </c>
      <c r="R43" s="1">
        <f>IF(OR(J43="",D43="",N43='By category'!$B$28,Q42=""),0,IF(ABS(Q42+D43-J43)&gt;0.005,1,0))</f>
        <v>0.0</v>
      </c>
      <c r="T43" s="1" t="str">
        <f>IF(R43=1,Q42+D43,"")</f>
        <v/>
      </c>
      <c r="U43" s="1">
        <v>1</v>
      </c>
      <c r="V43" s="1">
        <f>IF(D43="",1,IF(OR(ABS(D43-'As read'!$A$43)&gt;0.005,B43&lt;&gt;'As read'!$B$43),1,0))</f>
        <v>0.0</v>
      </c>
      <c r="W43" s="1">
        <f>IF(J43="",IF('As read'!$C$43="",0,1),IF('As read'!$C$43="",1,IF(ABS(J43-'As read'!$C$43)&gt;0.005,1,0)))</f>
        <v>0.0</v>
      </c>
      <c r="X43" s="1">
        <f>IF(AND(N43='By category'!$B$28,O43&lt;&gt;E43),1,0)</f>
        <v>0.0</v>
      </c>
      <c r="Y43" s="1">
        <f>IF(AND(U43=1,N43&lt;&gt;"Loan money",N43&lt;&gt;'By category'!$B$28,N43&lt;&gt;"Undecided"),1,0)</f>
        <v>0.0</v>
      </c>
    </row>
    <row r="44" spans="1:25">
      <c r="A44" s="38">
        <v>39</v>
      </c>
      <c r="B44" s="39">
        <v>46319</v>
      </c>
      <c r="C44" s="40" t="s">
        <v>62</v>
      </c>
      <c r="D44" s="41">
        <v>-88.09999999999999</v>
      </c>
      <c r="E44" s="42" t="s">
        <v>63</v>
      </c>
      <c r="F44" s="43"/>
      <c r="G44" s="40" t="str">
        <f>IF(AND(E44="",D44=""),"",IF(OR(E44="",E44='By category'!$C$6),"Needs you",IF(E44&lt;&gt;O44,"You decided",IF(F44&lt;&gt;"","You checked",P44))))</f>
        <v>You said</v>
      </c>
      <c r="H44" s="44" t="s">
        <v>64</v>
      </c>
      <c r="I44" s="44" t="s">
        <v>31</v>
      </c>
      <c r="J44" s="45">
        <v>4519.51</v>
      </c>
      <c r="K44" s="38">
        <v>52</v>
      </c>
      <c r="L44" s="46" t="s">
        <v>31</v>
      </c>
      <c r="M44" s="1">
        <f>IF(B44="","",DATE(YEAR(B44),MONTH(B44),1))</f>
        <v>46296.0</v>
      </c>
      <c r="N44" s="1" t="str">
        <f>IF(D44="","",IF(E44="",'By category'!$B$6,IFERROR(INDEX('By category'!$B$6:$B$31,MATCH(E44,'By category'!$C$6:$C$31,0)),"none")))</f>
        <v>Spending</v>
      </c>
      <c r="O44" s="1" t="s">
        <v>63</v>
      </c>
      <c r="P44" s="1" t="s">
        <v>32</v>
      </c>
      <c r="Q44" s="1">
        <f>IF(AND(J44&lt;&gt;"",N44&lt;&gt;'By category'!$B$28),J44,Q43)</f>
        <v>4519.51</v>
      </c>
      <c r="R44" s="1">
        <f>IF(OR(J44="",D44="",N44='By category'!$B$28,Q43=""),0,IF(ABS(Q43+D44-J44)&gt;0.005,1,0))</f>
        <v>0.0</v>
      </c>
      <c r="T44" s="1" t="str">
        <f>IF(R44=1,Q43+D44,"")</f>
        <v/>
      </c>
      <c r="V44" s="1">
        <f>IF(D44="",1,IF(OR(ABS(D44-'As read'!$A$44)&gt;0.005,B44&lt;&gt;'As read'!$B$44),1,0))</f>
        <v>0.0</v>
      </c>
      <c r="W44" s="1">
        <f>IF(J44="",IF('As read'!$C$44="",0,1),IF('As read'!$C$44="",1,IF(ABS(J44-'As read'!$C$44)&gt;0.005,1,0)))</f>
        <v>0.0</v>
      </c>
      <c r="X44" s="1">
        <f>IF(AND(N44='By category'!$B$28,O44&lt;&gt;E44),1,0)</f>
        <v>0.0</v>
      </c>
      <c r="Y44" s="1">
        <f>IF(AND(U44=1,N44&lt;&gt;"Loan money",N44&lt;&gt;'By category'!$B$28,N44&lt;&gt;"Undecided"),1,0)</f>
        <v>0.0</v>
      </c>
    </row>
    <row r="45" spans="1:25">
      <c r="A45" s="38">
        <v>40</v>
      </c>
      <c r="B45" s="39">
        <v>46322</v>
      </c>
      <c r="C45" s="40" t="s">
        <v>103</v>
      </c>
      <c r="D45" s="41">
        <v>-410</v>
      </c>
      <c r="E45" s="42" t="s">
        <v>46</v>
      </c>
      <c r="F45" s="43"/>
      <c r="G45" s="40" t="str">
        <f>IF(AND(E45="",D45=""),"",IF(OR(E45="",E45='By category'!$C$6),"Needs you",IF(E45&lt;&gt;O45,"You decided",IF(F45&lt;&gt;"","You checked",P45))))</f>
        <v>Needs you</v>
      </c>
      <c r="H45" s="44" t="s">
        <v>104</v>
      </c>
      <c r="I45" s="44" t="s">
        <v>31</v>
      </c>
      <c r="J45" s="45">
        <v>4109.51</v>
      </c>
      <c r="K45" s="38">
        <v>53</v>
      </c>
      <c r="L45" s="46" t="s">
        <v>31</v>
      </c>
      <c r="M45" s="1">
        <f>IF(B45="","",DATE(YEAR(B45),MONTH(B45),1))</f>
        <v>46296.0</v>
      </c>
      <c r="N45" s="1" t="str">
        <f>IF(D45="","",IF(E45="",'By category'!$B$6,IFERROR(INDEX('By category'!$B$6:$B$31,MATCH(E45,'By category'!$C$6:$C$31,0)),"none")))</f>
        <v>Undecided</v>
      </c>
      <c r="O45" s="1" t="s">
        <v>46</v>
      </c>
      <c r="P45" s="1" t="s">
        <v>31</v>
      </c>
      <c r="Q45" s="1">
        <f>IF(AND(J45&lt;&gt;"",N45&lt;&gt;'By category'!$B$28),J45,Q44)</f>
        <v>4109.51</v>
      </c>
      <c r="R45" s="1">
        <f>IF(OR(J45="",D45="",N45='By category'!$B$28,Q44=""),0,IF(ABS(Q44+D45-J45)&gt;0.005,1,0))</f>
        <v>0.0</v>
      </c>
      <c r="T45" s="1" t="str">
        <f>IF(R45=1,Q44+D45,"")</f>
        <v/>
      </c>
      <c r="V45" s="1">
        <f>IF(D45="",1,IF(OR(ABS(D45-'As read'!$A$45)&gt;0.005,B45&lt;&gt;'As read'!$B$45),1,0))</f>
        <v>0.0</v>
      </c>
      <c r="W45" s="1">
        <f>IF(J45="",IF('As read'!$C$45="",0,1),IF('As read'!$C$45="",1,IF(ABS(J45-'As read'!$C$45)&gt;0.005,1,0)))</f>
        <v>0.0</v>
      </c>
      <c r="X45" s="1">
        <f>IF(AND(N45='By category'!$B$28,O45&lt;&gt;E45),1,0)</f>
        <v>0.0</v>
      </c>
      <c r="Y45" s="1">
        <f>IF(AND(U45=1,N45&lt;&gt;"Loan money",N45&lt;&gt;'By category'!$B$28,N45&lt;&gt;"Undecided"),1,0)</f>
        <v>0.0</v>
      </c>
    </row>
    <row r="46" spans="1:25">
      <c r="A46" s="38">
        <v>41</v>
      </c>
      <c r="B46" s="39">
        <v>46323</v>
      </c>
      <c r="C46" s="40" t="s">
        <v>68</v>
      </c>
      <c r="D46" s="41">
        <v>-39</v>
      </c>
      <c r="E46" s="42" t="s">
        <v>69</v>
      </c>
      <c r="F46" s="43"/>
      <c r="G46" s="40" t="str">
        <f>IF(AND(E46="",D46=""),"",IF(OR(E46="",E46='By category'!$C$6),"Needs you",IF(E46&lt;&gt;O46,"You decided",IF(F46&lt;&gt;"","You checked",P46))))</f>
        <v>You said</v>
      </c>
      <c r="H46" s="44" t="s">
        <v>70</v>
      </c>
      <c r="I46" s="44" t="s">
        <v>31</v>
      </c>
      <c r="J46" s="45">
        <v>4070.51</v>
      </c>
      <c r="K46" s="38">
        <v>54</v>
      </c>
      <c r="L46" s="46" t="s">
        <v>31</v>
      </c>
      <c r="M46" s="1">
        <f>IF(B46="","",DATE(YEAR(B46),MONTH(B46),1))</f>
        <v>46296.0</v>
      </c>
      <c r="N46" s="1" t="str">
        <f>IF(D46="","",IF(E46="",'By category'!$B$6,IFERROR(INDEX('By category'!$B$6:$B$31,MATCH(E46,'By category'!$C$6:$C$31,0)),"none")))</f>
        <v>Spending</v>
      </c>
      <c r="O46" s="1" t="s">
        <v>69</v>
      </c>
      <c r="P46" s="1" t="s">
        <v>32</v>
      </c>
      <c r="Q46" s="1">
        <f>IF(AND(J46&lt;&gt;"",N46&lt;&gt;'By category'!$B$28),J46,Q45)</f>
        <v>4070.51</v>
      </c>
      <c r="R46" s="1">
        <f>IF(OR(J46="",D46="",N46='By category'!$B$28,Q45=""),0,IF(ABS(Q45+D46-J46)&gt;0.005,1,0))</f>
        <v>0.0</v>
      </c>
      <c r="T46" s="1" t="str">
        <f>IF(R46=1,Q45+D46,"")</f>
        <v/>
      </c>
      <c r="V46" s="1">
        <f>IF(D46="",1,IF(OR(ABS(D46-'As read'!$A$46)&gt;0.005,B46&lt;&gt;'As read'!$B$46),1,0))</f>
        <v>0.0</v>
      </c>
      <c r="W46" s="1">
        <f>IF(J46="",IF('As read'!$C$46="",0,1),IF('As read'!$C$46="",1,IF(ABS(J46-'As read'!$C$46)&gt;0.005,1,0)))</f>
        <v>0.0</v>
      </c>
      <c r="X46" s="1">
        <f>IF(AND(N46='By category'!$B$28,O46&lt;&gt;E46),1,0)</f>
        <v>0.0</v>
      </c>
      <c r="Y46" s="1">
        <f>IF(AND(U46=1,N46&lt;&gt;"Loan money",N46&lt;&gt;'By category'!$B$28,N46&lt;&gt;"Undecided"),1,0)</f>
        <v>0.0</v>
      </c>
    </row>
    <row r="47" spans="1:25">
      <c r="A47" s="38">
        <v>42</v>
      </c>
      <c r="B47" s="39">
        <v>46325</v>
      </c>
      <c r="C47" s="40" t="s">
        <v>105</v>
      </c>
      <c r="D47" s="41">
        <v>3.18</v>
      </c>
      <c r="E47" s="42" t="s">
        <v>106</v>
      </c>
      <c r="F47" s="43"/>
      <c r="G47" s="40" t="str">
        <f>IF(AND(E47="",D47=""),"",IF(OR(E47="",E47='By category'!$C$6),"Needs you",IF(E47&lt;&gt;O47,"You decided",IF(F47&lt;&gt;"","You checked",P47))))</f>
        <v>Our guess, not checked</v>
      </c>
      <c r="H47" s="44" t="s">
        <v>107</v>
      </c>
      <c r="I47" s="44" t="s">
        <v>31</v>
      </c>
      <c r="J47" s="45">
        <v>4073.69</v>
      </c>
      <c r="K47" s="38">
        <v>55</v>
      </c>
      <c r="L47" s="46" t="s">
        <v>31</v>
      </c>
      <c r="M47" s="1">
        <f>IF(B47="","",DATE(YEAR(B47),MONTH(B47),1))</f>
        <v>46296.0</v>
      </c>
      <c r="N47" s="1" t="str">
        <f>IF(D47="","",IF(E47="",'By category'!$B$6,IFERROR(INDEX('By category'!$B$6:$B$31,MATCH(E47,'By category'!$C$6:$C$31,0)),"none")))</f>
        <v>Money in</v>
      </c>
      <c r="O47" s="1" t="s">
        <v>106</v>
      </c>
      <c r="P47" s="1" t="s">
        <v>54</v>
      </c>
      <c r="Q47" s="1">
        <f>IF(AND(J47&lt;&gt;"",N47&lt;&gt;'By category'!$B$28),J47,Q46)</f>
        <v>4073.69</v>
      </c>
      <c r="R47" s="1">
        <f>IF(OR(J47="",D47="",N47='By category'!$B$28,Q46=""),0,IF(ABS(Q46+D47-J47)&gt;0.005,1,0))</f>
        <v>0.0</v>
      </c>
      <c r="T47" s="1" t="str">
        <f>IF(R47=1,Q46+D47,"")</f>
        <v/>
      </c>
      <c r="V47" s="1">
        <f>IF(D47="",1,IF(OR(ABS(D47-'As read'!$A$47)&gt;0.005,B47&lt;&gt;'As read'!$B$47),1,0))</f>
        <v>0.0</v>
      </c>
      <c r="W47" s="1">
        <f>IF(J47="",IF('As read'!$C$47="",0,1),IF('As read'!$C$47="",1,IF(ABS(J47-'As read'!$C$47)&gt;0.005,1,0)))</f>
        <v>0.0</v>
      </c>
      <c r="X47" s="1">
        <f>IF(AND(N47='By category'!$B$28,O47&lt;&gt;E47),1,0)</f>
        <v>0.0</v>
      </c>
      <c r="Y47" s="1">
        <f>IF(AND(U47=1,N47&lt;&gt;"Loan money",N47&lt;&gt;'By category'!$B$28,N47&lt;&gt;"Undecided"),1,0)</f>
        <v>0.0</v>
      </c>
    </row>
    <row r="48" spans="1:25">
      <c r="A48" s="40"/>
      <c r="B48" s="47"/>
      <c r="C48" s="42"/>
      <c r="D48" s="48"/>
      <c r="E48" s="42"/>
      <c r="F48" s="43"/>
      <c r="G48" s="40" t="str">
        <f>IF(AND(E48="",D48=""),"",IF(OR(E48="",E48='By category'!$C$6),"Needs you",IF(E48&lt;&gt;O48,"You decided",IF(F48&lt;&gt;"","You checked",P48))))</f>
        <v/>
      </c>
      <c r="M48" s="1" t="str">
        <f>IF(B48="","",DATE(YEAR(B48),MONTH(B48),1))</f>
        <v/>
      </c>
      <c r="N48" s="1" t="str">
        <f>IF(D48="","",IF(E48="",'By category'!$B$6,IFERROR(INDEX('By category'!$B$6:$B$31,MATCH(E48,'By category'!$C$6:$C$31,0)),"none")))</f>
        <v/>
      </c>
      <c r="Q48" s="1">
        <f>IF(AND(J48&lt;&gt;"",N48&lt;&gt;'By category'!$B$28),J48,Q47)</f>
        <v>4073.69</v>
      </c>
      <c r="R48" s="1">
        <f>IF(OR(J48="",D48="",N48='By category'!$B$28,Q47=""),0,IF(ABS(Q47+D48-J48)&gt;0.005,1,0))</f>
        <v>0.0</v>
      </c>
      <c r="T48" s="1" t="str">
        <f>IF(R48=1,Q47+D48,"")</f>
        <v/>
      </c>
    </row>
    <row r="49" spans="1:20">
      <c r="A49" s="40"/>
      <c r="B49" s="47"/>
      <c r="C49" s="42"/>
      <c r="D49" s="48"/>
      <c r="E49" s="42"/>
      <c r="F49" s="43"/>
      <c r="G49" s="40" t="str">
        <f>IF(AND(E49="",D49=""),"",IF(OR(E49="",E49='By category'!$C$6),"Needs you",IF(E49&lt;&gt;O49,"You decided",IF(F49&lt;&gt;"","You checked",P49))))</f>
        <v/>
      </c>
      <c r="M49" s="1" t="str">
        <f>IF(B49="","",DATE(YEAR(B49),MONTH(B49),1))</f>
        <v/>
      </c>
      <c r="N49" s="1" t="str">
        <f>IF(D49="","",IF(E49="",'By category'!$B$6,IFERROR(INDEX('By category'!$B$6:$B$31,MATCH(E49,'By category'!$C$6:$C$31,0)),"none")))</f>
        <v/>
      </c>
      <c r="Q49" s="1">
        <f>IF(AND(J49&lt;&gt;"",N49&lt;&gt;'By category'!$B$28),J49,Q48)</f>
        <v>4073.69</v>
      </c>
      <c r="R49" s="1">
        <f>IF(OR(J49="",D49="",N49='By category'!$B$28,Q48=""),0,IF(ABS(Q48+D49-J49)&gt;0.005,1,0))</f>
        <v>0.0</v>
      </c>
      <c r="T49" s="1" t="str">
        <f>IF(R49=1,Q48+D49,"")</f>
        <v/>
      </c>
    </row>
    <row r="50" spans="1:20">
      <c r="A50" s="40"/>
      <c r="B50" s="47"/>
      <c r="C50" s="42"/>
      <c r="D50" s="48"/>
      <c r="E50" s="42"/>
      <c r="F50" s="43"/>
      <c r="G50" s="40" t="str">
        <f>IF(AND(E50="",D50=""),"",IF(OR(E50="",E50='By category'!$C$6),"Needs you",IF(E50&lt;&gt;O50,"You decided",IF(F50&lt;&gt;"","You checked",P50))))</f>
        <v/>
      </c>
      <c r="M50" s="1" t="str">
        <f>IF(B50="","",DATE(YEAR(B50),MONTH(B50),1))</f>
        <v/>
      </c>
      <c r="N50" s="1" t="str">
        <f>IF(D50="","",IF(E50="",'By category'!$B$6,IFERROR(INDEX('By category'!$B$6:$B$31,MATCH(E50,'By category'!$C$6:$C$31,0)),"none")))</f>
        <v/>
      </c>
      <c r="Q50" s="1">
        <f>IF(AND(J50&lt;&gt;"",N50&lt;&gt;'By category'!$B$28),J50,Q49)</f>
        <v>4073.69</v>
      </c>
      <c r="R50" s="1">
        <f>IF(OR(J50="",D50="",N50='By category'!$B$28,Q49=""),0,IF(ABS(Q49+D50-J50)&gt;0.005,1,0))</f>
        <v>0.0</v>
      </c>
      <c r="T50" s="1" t="str">
        <f>IF(R50=1,Q49+D50,"")</f>
        <v/>
      </c>
    </row>
    <row r="51" spans="1:20">
      <c r="A51" s="40"/>
      <c r="B51" s="47"/>
      <c r="C51" s="42"/>
      <c r="D51" s="48"/>
      <c r="E51" s="42"/>
      <c r="F51" s="43"/>
      <c r="G51" s="40" t="str">
        <f>IF(AND(E51="",D51=""),"",IF(OR(E51="",E51='By category'!$C$6),"Needs you",IF(E51&lt;&gt;O51,"You decided",IF(F51&lt;&gt;"","You checked",P51))))</f>
        <v/>
      </c>
      <c r="M51" s="1" t="str">
        <f>IF(B51="","",DATE(YEAR(B51),MONTH(B51),1))</f>
        <v/>
      </c>
      <c r="N51" s="1" t="str">
        <f>IF(D51="","",IF(E51="",'By category'!$B$6,IFERROR(INDEX('By category'!$B$6:$B$31,MATCH(E51,'By category'!$C$6:$C$31,0)),"none")))</f>
        <v/>
      </c>
      <c r="Q51" s="1">
        <f>IF(AND(J51&lt;&gt;"",N51&lt;&gt;'By category'!$B$28),J51,Q50)</f>
        <v>4073.69</v>
      </c>
      <c r="R51" s="1">
        <f>IF(OR(J51="",D51="",N51='By category'!$B$28,Q50=""),0,IF(ABS(Q50+D51-J51)&gt;0.005,1,0))</f>
        <v>0.0</v>
      </c>
      <c r="T51" s="1" t="str">
        <f>IF(R51=1,Q50+D51,"")</f>
        <v/>
      </c>
    </row>
    <row r="52" spans="1:20">
      <c r="A52" s="40"/>
      <c r="B52" s="47"/>
      <c r="C52" s="42"/>
      <c r="D52" s="48"/>
      <c r="E52" s="42"/>
      <c r="F52" s="43"/>
      <c r="G52" s="40" t="str">
        <f>IF(AND(E52="",D52=""),"",IF(OR(E52="",E52='By category'!$C$6),"Needs you",IF(E52&lt;&gt;O52,"You decided",IF(F52&lt;&gt;"","You checked",P52))))</f>
        <v/>
      </c>
      <c r="M52" s="1" t="str">
        <f>IF(B52="","",DATE(YEAR(B52),MONTH(B52),1))</f>
        <v/>
      </c>
      <c r="N52" s="1" t="str">
        <f>IF(D52="","",IF(E52="",'By category'!$B$6,IFERROR(INDEX('By category'!$B$6:$B$31,MATCH(E52,'By category'!$C$6:$C$31,0)),"none")))</f>
        <v/>
      </c>
      <c r="Q52" s="1">
        <f>IF(AND(J52&lt;&gt;"",N52&lt;&gt;'By category'!$B$28),J52,Q51)</f>
        <v>4073.69</v>
      </c>
      <c r="R52" s="1">
        <f>IF(OR(J52="",D52="",N52='By category'!$B$28,Q51=""),0,IF(ABS(Q51+D52-J52)&gt;0.005,1,0))</f>
        <v>0.0</v>
      </c>
      <c r="T52" s="1" t="str">
        <f>IF(R52=1,Q51+D52,"")</f>
        <v/>
      </c>
    </row>
    <row r="53" spans="1:20">
      <c r="A53" s="40"/>
      <c r="B53" s="47"/>
      <c r="C53" s="42"/>
      <c r="D53" s="48"/>
      <c r="E53" s="42"/>
      <c r="F53" s="43"/>
      <c r="G53" s="40" t="str">
        <f>IF(AND(E53="",D53=""),"",IF(OR(E53="",E53='By category'!$C$6),"Needs you",IF(E53&lt;&gt;O53,"You decided",IF(F53&lt;&gt;"","You checked",P53))))</f>
        <v/>
      </c>
      <c r="M53" s="1" t="str">
        <f>IF(B53="","",DATE(YEAR(B53),MONTH(B53),1))</f>
        <v/>
      </c>
      <c r="N53" s="1" t="str">
        <f>IF(D53="","",IF(E53="",'By category'!$B$6,IFERROR(INDEX('By category'!$B$6:$B$31,MATCH(E53,'By category'!$C$6:$C$31,0)),"none")))</f>
        <v/>
      </c>
      <c r="Q53" s="1">
        <f>IF(AND(J53&lt;&gt;"",N53&lt;&gt;'By category'!$B$28),J53,Q52)</f>
        <v>4073.69</v>
      </c>
      <c r="R53" s="1">
        <f>IF(OR(J53="",D53="",N53='By category'!$B$28,Q52=""),0,IF(ABS(Q52+D53-J53)&gt;0.005,1,0))</f>
        <v>0.0</v>
      </c>
      <c r="T53" s="1" t="str">
        <f>IF(R53=1,Q52+D53,"")</f>
        <v/>
      </c>
    </row>
    <row r="54" spans="1:20">
      <c r="A54" s="40"/>
      <c r="B54" s="47"/>
      <c r="C54" s="42"/>
      <c r="D54" s="48"/>
      <c r="E54" s="42"/>
      <c r="F54" s="43"/>
      <c r="G54" s="40" t="str">
        <f>IF(AND(E54="",D54=""),"",IF(OR(E54="",E54='By category'!$C$6),"Needs you",IF(E54&lt;&gt;O54,"You decided",IF(F54&lt;&gt;"","You checked",P54))))</f>
        <v/>
      </c>
      <c r="M54" s="1" t="str">
        <f>IF(B54="","",DATE(YEAR(B54),MONTH(B54),1))</f>
        <v/>
      </c>
      <c r="N54" s="1" t="str">
        <f>IF(D54="","",IF(E54="",'By category'!$B$6,IFERROR(INDEX('By category'!$B$6:$B$31,MATCH(E54,'By category'!$C$6:$C$31,0)),"none")))</f>
        <v/>
      </c>
      <c r="Q54" s="1">
        <f>IF(AND(J54&lt;&gt;"",N54&lt;&gt;'By category'!$B$28),J54,Q53)</f>
        <v>4073.69</v>
      </c>
      <c r="R54" s="1">
        <f>IF(OR(J54="",D54="",N54='By category'!$B$28,Q53=""),0,IF(ABS(Q53+D54-J54)&gt;0.005,1,0))</f>
        <v>0.0</v>
      </c>
      <c r="T54" s="1" t="str">
        <f>IF(R54=1,Q53+D54,"")</f>
        <v/>
      </c>
    </row>
    <row r="55" spans="1:20">
      <c r="A55" s="40"/>
      <c r="B55" s="47"/>
      <c r="C55" s="42"/>
      <c r="D55" s="48"/>
      <c r="E55" s="42"/>
      <c r="F55" s="43"/>
      <c r="G55" s="40" t="str">
        <f>IF(AND(E55="",D55=""),"",IF(OR(E55="",E55='By category'!$C$6),"Needs you",IF(E55&lt;&gt;O55,"You decided",IF(F55&lt;&gt;"","You checked",P55))))</f>
        <v/>
      </c>
      <c r="M55" s="1" t="str">
        <f>IF(B55="","",DATE(YEAR(B55),MONTH(B55),1))</f>
        <v/>
      </c>
      <c r="N55" s="1" t="str">
        <f>IF(D55="","",IF(E55="",'By category'!$B$6,IFERROR(INDEX('By category'!$B$6:$B$31,MATCH(E55,'By category'!$C$6:$C$31,0)),"none")))</f>
        <v/>
      </c>
      <c r="Q55" s="1">
        <f>IF(AND(J55&lt;&gt;"",N55&lt;&gt;'By category'!$B$28),J55,Q54)</f>
        <v>4073.69</v>
      </c>
      <c r="R55" s="1">
        <f>IF(OR(J55="",D55="",N55='By category'!$B$28,Q54=""),0,IF(ABS(Q54+D55-J55)&gt;0.005,1,0))</f>
        <v>0.0</v>
      </c>
      <c r="T55" s="1" t="str">
        <f>IF(R55=1,Q54+D55,"")</f>
        <v/>
      </c>
    </row>
    <row r="56" spans="1:20">
      <c r="A56" s="40"/>
      <c r="B56" s="47"/>
      <c r="C56" s="42"/>
      <c r="D56" s="48"/>
      <c r="E56" s="42"/>
      <c r="F56" s="43"/>
      <c r="G56" s="40" t="str">
        <f>IF(AND(E56="",D56=""),"",IF(OR(E56="",E56='By category'!$C$6),"Needs you",IF(E56&lt;&gt;O56,"You decided",IF(F56&lt;&gt;"","You checked",P56))))</f>
        <v/>
      </c>
      <c r="M56" s="1" t="str">
        <f>IF(B56="","",DATE(YEAR(B56),MONTH(B56),1))</f>
        <v/>
      </c>
      <c r="N56" s="1" t="str">
        <f>IF(D56="","",IF(E56="",'By category'!$B$6,IFERROR(INDEX('By category'!$B$6:$B$31,MATCH(E56,'By category'!$C$6:$C$31,0)),"none")))</f>
        <v/>
      </c>
      <c r="Q56" s="1">
        <f>IF(AND(J56&lt;&gt;"",N56&lt;&gt;'By category'!$B$28),J56,Q55)</f>
        <v>4073.69</v>
      </c>
      <c r="R56" s="1">
        <f>IF(OR(J56="",D56="",N56='By category'!$B$28,Q55=""),0,IF(ABS(Q55+D56-J56)&gt;0.005,1,0))</f>
        <v>0.0</v>
      </c>
      <c r="T56" s="1" t="str">
        <f>IF(R56=1,Q55+D56,"")</f>
        <v/>
      </c>
    </row>
    <row r="57" spans="1:20">
      <c r="A57" s="40"/>
      <c r="B57" s="47"/>
      <c r="C57" s="42"/>
      <c r="D57" s="48"/>
      <c r="E57" s="42"/>
      <c r="F57" s="43"/>
      <c r="G57" s="40" t="str">
        <f>IF(AND(E57="",D57=""),"",IF(OR(E57="",E57='By category'!$C$6),"Needs you",IF(E57&lt;&gt;O57,"You decided",IF(F57&lt;&gt;"","You checked",P57))))</f>
        <v/>
      </c>
      <c r="M57" s="1" t="str">
        <f>IF(B57="","",DATE(YEAR(B57),MONTH(B57),1))</f>
        <v/>
      </c>
      <c r="N57" s="1" t="str">
        <f>IF(D57="","",IF(E57="",'By category'!$B$6,IFERROR(INDEX('By category'!$B$6:$B$31,MATCH(E57,'By category'!$C$6:$C$31,0)),"none")))</f>
        <v/>
      </c>
      <c r="Q57" s="1">
        <f>IF(AND(J57&lt;&gt;"",N57&lt;&gt;'By category'!$B$28),J57,Q56)</f>
        <v>4073.69</v>
      </c>
      <c r="R57" s="1">
        <f>IF(OR(J57="",D57="",N57='By category'!$B$28,Q56=""),0,IF(ABS(Q56+D57-J57)&gt;0.005,1,0))</f>
        <v>0.0</v>
      </c>
      <c r="T57" s="1" t="str">
        <f>IF(R57=1,Q56+D57,"")</f>
        <v/>
      </c>
    </row>
    <row r="58" spans="1:20">
      <c r="A58" s="40"/>
      <c r="B58" s="47"/>
      <c r="C58" s="42"/>
      <c r="D58" s="48"/>
      <c r="E58" s="42"/>
      <c r="F58" s="43"/>
      <c r="G58" s="40" t="str">
        <f>IF(AND(E58="",D58=""),"",IF(OR(E58="",E58='By category'!$C$6),"Needs you",IF(E58&lt;&gt;O58,"You decided",IF(F58&lt;&gt;"","You checked",P58))))</f>
        <v/>
      </c>
      <c r="M58" s="1" t="str">
        <f>IF(B58="","",DATE(YEAR(B58),MONTH(B58),1))</f>
        <v/>
      </c>
      <c r="N58" s="1" t="str">
        <f>IF(D58="","",IF(E58="",'By category'!$B$6,IFERROR(INDEX('By category'!$B$6:$B$31,MATCH(E58,'By category'!$C$6:$C$31,0)),"none")))</f>
        <v/>
      </c>
      <c r="Q58" s="1">
        <f>IF(AND(J58&lt;&gt;"",N58&lt;&gt;'By category'!$B$28),J58,Q57)</f>
        <v>4073.69</v>
      </c>
      <c r="R58" s="1">
        <f>IF(OR(J58="",D58="",N58='By category'!$B$28,Q57=""),0,IF(ABS(Q57+D58-J58)&gt;0.005,1,0))</f>
        <v>0.0</v>
      </c>
      <c r="T58" s="1" t="str">
        <f>IF(R58=1,Q57+D58,"")</f>
        <v/>
      </c>
    </row>
    <row r="59" spans="1:20">
      <c r="A59" s="40"/>
      <c r="B59" s="47"/>
      <c r="C59" s="42"/>
      <c r="D59" s="48"/>
      <c r="E59" s="42"/>
      <c r="F59" s="43"/>
      <c r="G59" s="40" t="str">
        <f>IF(AND(E59="",D59=""),"",IF(OR(E59="",E59='By category'!$C$6),"Needs you",IF(E59&lt;&gt;O59,"You decided",IF(F59&lt;&gt;"","You checked",P59))))</f>
        <v/>
      </c>
      <c r="M59" s="1" t="str">
        <f>IF(B59="","",DATE(YEAR(B59),MONTH(B59),1))</f>
        <v/>
      </c>
      <c r="N59" s="1" t="str">
        <f>IF(D59="","",IF(E59="",'By category'!$B$6,IFERROR(INDEX('By category'!$B$6:$B$31,MATCH(E59,'By category'!$C$6:$C$31,0)),"none")))</f>
        <v/>
      </c>
      <c r="Q59" s="1">
        <f>IF(AND(J59&lt;&gt;"",N59&lt;&gt;'By category'!$B$28),J59,Q58)</f>
        <v>4073.69</v>
      </c>
      <c r="R59" s="1">
        <f>IF(OR(J59="",D59="",N59='By category'!$B$28,Q58=""),0,IF(ABS(Q58+D59-J59)&gt;0.005,1,0))</f>
        <v>0.0</v>
      </c>
      <c r="T59" s="1" t="str">
        <f>IF(R59=1,Q58+D59,"")</f>
        <v/>
      </c>
    </row>
    <row r="60" spans="1:20">
      <c r="A60" s="40"/>
      <c r="B60" s="47"/>
      <c r="C60" s="42"/>
      <c r="D60" s="48"/>
      <c r="E60" s="42"/>
      <c r="F60" s="43"/>
      <c r="G60" s="40" t="str">
        <f>IF(AND(E60="",D60=""),"",IF(OR(E60="",E60='By category'!$C$6),"Needs you",IF(E60&lt;&gt;O60,"You decided",IF(F60&lt;&gt;"","You checked",P60))))</f>
        <v/>
      </c>
      <c r="M60" s="1" t="str">
        <f>IF(B60="","",DATE(YEAR(B60),MONTH(B60),1))</f>
        <v/>
      </c>
      <c r="N60" s="1" t="str">
        <f>IF(D60="","",IF(E60="",'By category'!$B$6,IFERROR(INDEX('By category'!$B$6:$B$31,MATCH(E60,'By category'!$C$6:$C$31,0)),"none")))</f>
        <v/>
      </c>
      <c r="Q60" s="1">
        <f>IF(AND(J60&lt;&gt;"",N60&lt;&gt;'By category'!$B$28),J60,Q59)</f>
        <v>4073.69</v>
      </c>
      <c r="R60" s="1">
        <f>IF(OR(J60="",D60="",N60='By category'!$B$28,Q59=""),0,IF(ABS(Q59+D60-J60)&gt;0.005,1,0))</f>
        <v>0.0</v>
      </c>
      <c r="T60" s="1" t="str">
        <f>IF(R60=1,Q59+D60,"")</f>
        <v/>
      </c>
    </row>
    <row r="61" spans="1:20">
      <c r="A61" s="40"/>
      <c r="B61" s="47"/>
      <c r="C61" s="42"/>
      <c r="D61" s="48"/>
      <c r="E61" s="42"/>
      <c r="F61" s="43"/>
      <c r="G61" s="40" t="str">
        <f>IF(AND(E61="",D61=""),"",IF(OR(E61="",E61='By category'!$C$6),"Needs you",IF(E61&lt;&gt;O61,"You decided",IF(F61&lt;&gt;"","You checked",P61))))</f>
        <v/>
      </c>
      <c r="M61" s="1" t="str">
        <f>IF(B61="","",DATE(YEAR(B61),MONTH(B61),1))</f>
        <v/>
      </c>
      <c r="N61" s="1" t="str">
        <f>IF(D61="","",IF(E61="",'By category'!$B$6,IFERROR(INDEX('By category'!$B$6:$B$31,MATCH(E61,'By category'!$C$6:$C$31,0)),"none")))</f>
        <v/>
      </c>
      <c r="Q61" s="1">
        <f>IF(AND(J61&lt;&gt;"",N61&lt;&gt;'By category'!$B$28),J61,Q60)</f>
        <v>4073.69</v>
      </c>
      <c r="R61" s="1">
        <f>IF(OR(J61="",D61="",N61='By category'!$B$28,Q60=""),0,IF(ABS(Q60+D61-J61)&gt;0.005,1,0))</f>
        <v>0.0</v>
      </c>
      <c r="T61" s="1" t="str">
        <f>IF(R61=1,Q60+D61,"")</f>
        <v/>
      </c>
    </row>
    <row r="62" spans="1:20">
      <c r="A62" s="40"/>
      <c r="B62" s="47"/>
      <c r="C62" s="42"/>
      <c r="D62" s="48"/>
      <c r="E62" s="42"/>
      <c r="F62" s="43"/>
      <c r="G62" s="40" t="str">
        <f>IF(AND(E62="",D62=""),"",IF(OR(E62="",E62='By category'!$C$6),"Needs you",IF(E62&lt;&gt;O62,"You decided",IF(F62&lt;&gt;"","You checked",P62))))</f>
        <v/>
      </c>
      <c r="M62" s="1" t="str">
        <f>IF(B62="","",DATE(YEAR(B62),MONTH(B62),1))</f>
        <v/>
      </c>
      <c r="N62" s="1" t="str">
        <f>IF(D62="","",IF(E62="",'By category'!$B$6,IFERROR(INDEX('By category'!$B$6:$B$31,MATCH(E62,'By category'!$C$6:$C$31,0)),"none")))</f>
        <v/>
      </c>
      <c r="Q62" s="1">
        <f>IF(AND(J62&lt;&gt;"",N62&lt;&gt;'By category'!$B$28),J62,Q61)</f>
        <v>4073.69</v>
      </c>
      <c r="R62" s="1">
        <f>IF(OR(J62="",D62="",N62='By category'!$B$28,Q61=""),0,IF(ABS(Q61+D62-J62)&gt;0.005,1,0))</f>
        <v>0.0</v>
      </c>
      <c r="T62" s="1" t="str">
        <f>IF(R62=1,Q61+D62,"")</f>
        <v/>
      </c>
    </row>
    <row r="63" spans="1:20">
      <c r="A63" s="40"/>
      <c r="B63" s="47"/>
      <c r="C63" s="42"/>
      <c r="D63" s="48"/>
      <c r="E63" s="42"/>
      <c r="F63" s="43"/>
      <c r="G63" s="40" t="str">
        <f>IF(AND(E63="",D63=""),"",IF(OR(E63="",E63='By category'!$C$6),"Needs you",IF(E63&lt;&gt;O63,"You decided",IF(F63&lt;&gt;"","You checked",P63))))</f>
        <v/>
      </c>
      <c r="M63" s="1" t="str">
        <f>IF(B63="","",DATE(YEAR(B63),MONTH(B63),1))</f>
        <v/>
      </c>
      <c r="N63" s="1" t="str">
        <f>IF(D63="","",IF(E63="",'By category'!$B$6,IFERROR(INDEX('By category'!$B$6:$B$31,MATCH(E63,'By category'!$C$6:$C$31,0)),"none")))</f>
        <v/>
      </c>
      <c r="Q63" s="1">
        <f>IF(AND(J63&lt;&gt;"",N63&lt;&gt;'By category'!$B$28),J63,Q62)</f>
        <v>4073.69</v>
      </c>
      <c r="R63" s="1">
        <f>IF(OR(J63="",D63="",N63='By category'!$B$28,Q62=""),0,IF(ABS(Q62+D63-J63)&gt;0.005,1,0))</f>
        <v>0.0</v>
      </c>
      <c r="T63" s="1" t="str">
        <f>IF(R63=1,Q62+D63,"")</f>
        <v/>
      </c>
    </row>
    <row r="64" spans="1:20">
      <c r="A64" s="40"/>
      <c r="B64" s="47"/>
      <c r="C64" s="42"/>
      <c r="D64" s="48"/>
      <c r="E64" s="42"/>
      <c r="F64" s="43"/>
      <c r="G64" s="40" t="str">
        <f>IF(AND(E64="",D64=""),"",IF(OR(E64="",E64='By category'!$C$6),"Needs you",IF(E64&lt;&gt;O64,"You decided",IF(F64&lt;&gt;"","You checked",P64))))</f>
        <v/>
      </c>
      <c r="M64" s="1" t="str">
        <f>IF(B64="","",DATE(YEAR(B64),MONTH(B64),1))</f>
        <v/>
      </c>
      <c r="N64" s="1" t="str">
        <f>IF(D64="","",IF(E64="",'By category'!$B$6,IFERROR(INDEX('By category'!$B$6:$B$31,MATCH(E64,'By category'!$C$6:$C$31,0)),"none")))</f>
        <v/>
      </c>
      <c r="Q64" s="1">
        <f>IF(AND(J64&lt;&gt;"",N64&lt;&gt;'By category'!$B$28),J64,Q63)</f>
        <v>4073.69</v>
      </c>
      <c r="R64" s="1">
        <f>IF(OR(J64="",D64="",N64='By category'!$B$28,Q63=""),0,IF(ABS(Q63+D64-J64)&gt;0.005,1,0))</f>
        <v>0.0</v>
      </c>
      <c r="T64" s="1" t="str">
        <f>IF(R64=1,Q63+D64,"")</f>
        <v/>
      </c>
    </row>
    <row r="65" spans="1:20">
      <c r="A65" s="40"/>
      <c r="B65" s="47"/>
      <c r="C65" s="42"/>
      <c r="D65" s="48"/>
      <c r="E65" s="42"/>
      <c r="F65" s="43"/>
      <c r="G65" s="40" t="str">
        <f>IF(AND(E65="",D65=""),"",IF(OR(E65="",E65='By category'!$C$6),"Needs you",IF(E65&lt;&gt;O65,"You decided",IF(F65&lt;&gt;"","You checked",P65))))</f>
        <v/>
      </c>
      <c r="M65" s="1" t="str">
        <f>IF(B65="","",DATE(YEAR(B65),MONTH(B65),1))</f>
        <v/>
      </c>
      <c r="N65" s="1" t="str">
        <f>IF(D65="","",IF(E65="",'By category'!$B$6,IFERROR(INDEX('By category'!$B$6:$B$31,MATCH(E65,'By category'!$C$6:$C$31,0)),"none")))</f>
        <v/>
      </c>
      <c r="Q65" s="1">
        <f>IF(AND(J65&lt;&gt;"",N65&lt;&gt;'By category'!$B$28),J65,Q64)</f>
        <v>4073.69</v>
      </c>
      <c r="R65" s="1">
        <f>IF(OR(J65="",D65="",N65='By category'!$B$28,Q64=""),0,IF(ABS(Q64+D65-J65)&gt;0.005,1,0))</f>
        <v>0.0</v>
      </c>
      <c r="T65" s="1" t="str">
        <f>IF(R65=1,Q64+D65,"")</f>
        <v/>
      </c>
    </row>
    <row r="66" spans="1:20">
      <c r="A66" s="40"/>
      <c r="B66" s="47"/>
      <c r="C66" s="42"/>
      <c r="D66" s="48"/>
      <c r="E66" s="42"/>
      <c r="F66" s="43"/>
      <c r="G66" s="40" t="str">
        <f>IF(AND(E66="",D66=""),"",IF(OR(E66="",E66='By category'!$C$6),"Needs you",IF(E66&lt;&gt;O66,"You decided",IF(F66&lt;&gt;"","You checked",P66))))</f>
        <v/>
      </c>
      <c r="M66" s="1" t="str">
        <f>IF(B66="","",DATE(YEAR(B66),MONTH(B66),1))</f>
        <v/>
      </c>
      <c r="N66" s="1" t="str">
        <f>IF(D66="","",IF(E66="",'By category'!$B$6,IFERROR(INDEX('By category'!$B$6:$B$31,MATCH(E66,'By category'!$C$6:$C$31,0)),"none")))</f>
        <v/>
      </c>
      <c r="Q66" s="1">
        <f>IF(AND(J66&lt;&gt;"",N66&lt;&gt;'By category'!$B$28),J66,Q65)</f>
        <v>4073.69</v>
      </c>
      <c r="R66" s="1">
        <f>IF(OR(J66="",D66="",N66='By category'!$B$28,Q65=""),0,IF(ABS(Q65+D66-J66)&gt;0.005,1,0))</f>
        <v>0.0</v>
      </c>
      <c r="T66" s="1" t="str">
        <f>IF(R66=1,Q65+D66,"")</f>
        <v/>
      </c>
    </row>
    <row r="67" spans="1:20">
      <c r="A67" s="40"/>
      <c r="B67" s="47"/>
      <c r="C67" s="42"/>
      <c r="D67" s="48"/>
      <c r="E67" s="42"/>
      <c r="F67" s="43"/>
      <c r="G67" s="40" t="str">
        <f>IF(AND(E67="",D67=""),"",IF(OR(E67="",E67='By category'!$C$6),"Needs you",IF(E67&lt;&gt;O67,"You decided",IF(F67&lt;&gt;"","You checked",P67))))</f>
        <v/>
      </c>
      <c r="M67" s="1" t="str">
        <f>IF(B67="","",DATE(YEAR(B67),MONTH(B67),1))</f>
        <v/>
      </c>
      <c r="N67" s="1" t="str">
        <f>IF(D67="","",IF(E67="",'By category'!$B$6,IFERROR(INDEX('By category'!$B$6:$B$31,MATCH(E67,'By category'!$C$6:$C$31,0)),"none")))</f>
        <v/>
      </c>
      <c r="Q67" s="1">
        <f>IF(AND(J67&lt;&gt;"",N67&lt;&gt;'By category'!$B$28),J67,Q66)</f>
        <v>4073.69</v>
      </c>
      <c r="R67" s="1">
        <f>IF(OR(J67="",D67="",N67='By category'!$B$28,Q66=""),0,IF(ABS(Q66+D67-J67)&gt;0.005,1,0))</f>
        <v>0.0</v>
      </c>
      <c r="T67" s="1" t="str">
        <f>IF(R67=1,Q66+D67,"")</f>
        <v/>
      </c>
    </row>
    <row r="68" spans="1:20">
      <c r="A68" s="40"/>
      <c r="B68" s="47"/>
      <c r="C68" s="42"/>
      <c r="D68" s="48"/>
      <c r="E68" s="42"/>
      <c r="F68" s="43"/>
      <c r="G68" s="40" t="str">
        <f>IF(AND(E68="",D68=""),"",IF(OR(E68="",E68='By category'!$C$6),"Needs you",IF(E68&lt;&gt;O68,"You decided",IF(F68&lt;&gt;"","You checked",P68))))</f>
        <v/>
      </c>
      <c r="M68" s="1" t="str">
        <f>IF(B68="","",DATE(YEAR(B68),MONTH(B68),1))</f>
        <v/>
      </c>
      <c r="N68" s="1" t="str">
        <f>IF(D68="","",IF(E68="",'By category'!$B$6,IFERROR(INDEX('By category'!$B$6:$B$31,MATCH(E68,'By category'!$C$6:$C$31,0)),"none")))</f>
        <v/>
      </c>
      <c r="Q68" s="1">
        <f>IF(AND(J68&lt;&gt;"",N68&lt;&gt;'By category'!$B$28),J68,Q67)</f>
        <v>4073.69</v>
      </c>
      <c r="R68" s="1">
        <f>IF(OR(J68="",D68="",N68='By category'!$B$28,Q67=""),0,IF(ABS(Q67+D68-J68)&gt;0.005,1,0))</f>
        <v>0.0</v>
      </c>
      <c r="T68" s="1" t="str">
        <f>IF(R68=1,Q67+D68,"")</f>
        <v/>
      </c>
    </row>
    <row r="69" spans="1:20">
      <c r="A69" s="40"/>
      <c r="B69" s="47"/>
      <c r="C69" s="42"/>
      <c r="D69" s="48"/>
      <c r="E69" s="42"/>
      <c r="F69" s="43"/>
      <c r="G69" s="40" t="str">
        <f>IF(AND(E69="",D69=""),"",IF(OR(E69="",E69='By category'!$C$6),"Needs you",IF(E69&lt;&gt;O69,"You decided",IF(F69&lt;&gt;"","You checked",P69))))</f>
        <v/>
      </c>
      <c r="M69" s="1" t="str">
        <f>IF(B69="","",DATE(YEAR(B69),MONTH(B69),1))</f>
        <v/>
      </c>
      <c r="N69" s="1" t="str">
        <f>IF(D69="","",IF(E69="",'By category'!$B$6,IFERROR(INDEX('By category'!$B$6:$B$31,MATCH(E69,'By category'!$C$6:$C$31,0)),"none")))</f>
        <v/>
      </c>
      <c r="Q69" s="1">
        <f>IF(AND(J69&lt;&gt;"",N69&lt;&gt;'By category'!$B$28),J69,Q68)</f>
        <v>4073.69</v>
      </c>
      <c r="R69" s="1">
        <f>IF(OR(J69="",D69="",N69='By category'!$B$28,Q68=""),0,IF(ABS(Q68+D69-J69)&gt;0.005,1,0))</f>
        <v>0.0</v>
      </c>
      <c r="T69" s="1" t="str">
        <f>IF(R69=1,Q68+D69,"")</f>
        <v/>
      </c>
    </row>
    <row r="70" spans="1:20">
      <c r="A70" s="40"/>
      <c r="B70" s="47"/>
      <c r="C70" s="42"/>
      <c r="D70" s="48"/>
      <c r="E70" s="42"/>
      <c r="F70" s="43"/>
      <c r="G70" s="40" t="str">
        <f>IF(AND(E70="",D70=""),"",IF(OR(E70="",E70='By category'!$C$6),"Needs you",IF(E70&lt;&gt;O70,"You decided",IF(F70&lt;&gt;"","You checked",P70))))</f>
        <v/>
      </c>
      <c r="M70" s="1" t="str">
        <f>IF(B70="","",DATE(YEAR(B70),MONTH(B70),1))</f>
        <v/>
      </c>
      <c r="N70" s="1" t="str">
        <f>IF(D70="","",IF(E70="",'By category'!$B$6,IFERROR(INDEX('By category'!$B$6:$B$31,MATCH(E70,'By category'!$C$6:$C$31,0)),"none")))</f>
        <v/>
      </c>
      <c r="Q70" s="1">
        <f>IF(AND(J70&lt;&gt;"",N70&lt;&gt;'By category'!$B$28),J70,Q69)</f>
        <v>4073.69</v>
      </c>
      <c r="R70" s="1">
        <f>IF(OR(J70="",D70="",N70='By category'!$B$28,Q69=""),0,IF(ABS(Q69+D70-J70)&gt;0.005,1,0))</f>
        <v>0.0</v>
      </c>
      <c r="T70" s="1" t="str">
        <f>IF(R70=1,Q69+D70,"")</f>
        <v/>
      </c>
    </row>
    <row r="71" spans="1:20">
      <c r="A71" s="40"/>
      <c r="B71" s="47"/>
      <c r="C71" s="42"/>
      <c r="D71" s="48"/>
      <c r="E71" s="42"/>
      <c r="F71" s="43"/>
      <c r="G71" s="40" t="str">
        <f>IF(AND(E71="",D71=""),"",IF(OR(E71="",E71='By category'!$C$6),"Needs you",IF(E71&lt;&gt;O71,"You decided",IF(F71&lt;&gt;"","You checked",P71))))</f>
        <v/>
      </c>
      <c r="M71" s="1" t="str">
        <f>IF(B71="","",DATE(YEAR(B71),MONTH(B71),1))</f>
        <v/>
      </c>
      <c r="N71" s="1" t="str">
        <f>IF(D71="","",IF(E71="",'By category'!$B$6,IFERROR(INDEX('By category'!$B$6:$B$31,MATCH(E71,'By category'!$C$6:$C$31,0)),"none")))</f>
        <v/>
      </c>
      <c r="Q71" s="1">
        <f>IF(AND(J71&lt;&gt;"",N71&lt;&gt;'By category'!$B$28),J71,Q70)</f>
        <v>4073.69</v>
      </c>
      <c r="R71" s="1">
        <f>IF(OR(J71="",D71="",N71='By category'!$B$28,Q70=""),0,IF(ABS(Q70+D71-J71)&gt;0.005,1,0))</f>
        <v>0.0</v>
      </c>
      <c r="T71" s="1" t="str">
        <f>IF(R71=1,Q70+D71,"")</f>
        <v/>
      </c>
    </row>
    <row r="72" spans="1:20">
      <c r="A72" s="40"/>
      <c r="B72" s="47"/>
      <c r="C72" s="42"/>
      <c r="D72" s="48"/>
      <c r="E72" s="42"/>
      <c r="F72" s="43"/>
      <c r="G72" s="40" t="str">
        <f>IF(AND(E72="",D72=""),"",IF(OR(E72="",E72='By category'!$C$6),"Needs you",IF(E72&lt;&gt;O72,"You decided",IF(F72&lt;&gt;"","You checked",P72))))</f>
        <v/>
      </c>
      <c r="M72" s="1" t="str">
        <f>IF(B72="","",DATE(YEAR(B72),MONTH(B72),1))</f>
        <v/>
      </c>
      <c r="N72" s="1" t="str">
        <f>IF(D72="","",IF(E72="",'By category'!$B$6,IFERROR(INDEX('By category'!$B$6:$B$31,MATCH(E72,'By category'!$C$6:$C$31,0)),"none")))</f>
        <v/>
      </c>
      <c r="Q72" s="1">
        <f>IF(AND(J72&lt;&gt;"",N72&lt;&gt;'By category'!$B$28),J72,Q71)</f>
        <v>4073.69</v>
      </c>
      <c r="R72" s="1">
        <f>IF(OR(J72="",D72="",N72='By category'!$B$28,Q71=""),0,IF(ABS(Q71+D72-J72)&gt;0.005,1,0))</f>
        <v>0.0</v>
      </c>
      <c r="T72" s="1" t="str">
        <f>IF(R72=1,Q71+D72,"")</f>
        <v/>
      </c>
    </row>
    <row r="73" spans="1:20">
      <c r="A73" s="40"/>
      <c r="B73" s="47"/>
      <c r="C73" s="42"/>
      <c r="D73" s="48"/>
      <c r="E73" s="42"/>
      <c r="F73" s="43"/>
      <c r="G73" s="40" t="str">
        <f>IF(AND(E73="",D73=""),"",IF(OR(E73="",E73='By category'!$C$6),"Needs you",IF(E73&lt;&gt;O73,"You decided",IF(F73&lt;&gt;"","You checked",P73))))</f>
        <v/>
      </c>
      <c r="M73" s="1" t="str">
        <f>IF(B73="","",DATE(YEAR(B73),MONTH(B73),1))</f>
        <v/>
      </c>
      <c r="N73" s="1" t="str">
        <f>IF(D73="","",IF(E73="",'By category'!$B$6,IFERROR(INDEX('By category'!$B$6:$B$31,MATCH(E73,'By category'!$C$6:$C$31,0)),"none")))</f>
        <v/>
      </c>
      <c r="Q73" s="1">
        <f>IF(AND(J73&lt;&gt;"",N73&lt;&gt;'By category'!$B$28),J73,Q72)</f>
        <v>4073.69</v>
      </c>
      <c r="R73" s="1">
        <f>IF(OR(J73="",D73="",N73='By category'!$B$28,Q72=""),0,IF(ABS(Q72+D73-J73)&gt;0.005,1,0))</f>
        <v>0.0</v>
      </c>
      <c r="T73" s="1" t="str">
        <f>IF(R73=1,Q72+D73,"")</f>
        <v/>
      </c>
    </row>
    <row r="74" spans="1:20">
      <c r="A74" s="40"/>
      <c r="B74" s="47"/>
      <c r="C74" s="42"/>
      <c r="D74" s="48"/>
      <c r="E74" s="42"/>
      <c r="F74" s="43"/>
      <c r="G74" s="40" t="str">
        <f>IF(AND(E74="",D74=""),"",IF(OR(E74="",E74='By category'!$C$6),"Needs you",IF(E74&lt;&gt;O74,"You decided",IF(F74&lt;&gt;"","You checked",P74))))</f>
        <v/>
      </c>
      <c r="M74" s="1" t="str">
        <f>IF(B74="","",DATE(YEAR(B74),MONTH(B74),1))</f>
        <v/>
      </c>
      <c r="N74" s="1" t="str">
        <f>IF(D74="","",IF(E74="",'By category'!$B$6,IFERROR(INDEX('By category'!$B$6:$B$31,MATCH(E74,'By category'!$C$6:$C$31,0)),"none")))</f>
        <v/>
      </c>
      <c r="Q74" s="1">
        <f>IF(AND(J74&lt;&gt;"",N74&lt;&gt;'By category'!$B$28),J74,Q73)</f>
        <v>4073.69</v>
      </c>
      <c r="R74" s="1">
        <f>IF(OR(J74="",D74="",N74='By category'!$B$28,Q73=""),0,IF(ABS(Q73+D74-J74)&gt;0.005,1,0))</f>
        <v>0.0</v>
      </c>
      <c r="T74" s="1" t="str">
        <f>IF(R74=1,Q73+D74,"")</f>
        <v/>
      </c>
    </row>
    <row r="75" spans="1:20">
      <c r="A75" s="40"/>
      <c r="B75" s="47"/>
      <c r="C75" s="42"/>
      <c r="D75" s="48"/>
      <c r="E75" s="42"/>
      <c r="F75" s="43"/>
      <c r="G75" s="40" t="str">
        <f>IF(AND(E75="",D75=""),"",IF(OR(E75="",E75='By category'!$C$6),"Needs you",IF(E75&lt;&gt;O75,"You decided",IF(F75&lt;&gt;"","You checked",P75))))</f>
        <v/>
      </c>
      <c r="M75" s="1" t="str">
        <f>IF(B75="","",DATE(YEAR(B75),MONTH(B75),1))</f>
        <v/>
      </c>
      <c r="N75" s="1" t="str">
        <f>IF(D75="","",IF(E75="",'By category'!$B$6,IFERROR(INDEX('By category'!$B$6:$B$31,MATCH(E75,'By category'!$C$6:$C$31,0)),"none")))</f>
        <v/>
      </c>
      <c r="Q75" s="1">
        <f>IF(AND(J75&lt;&gt;"",N75&lt;&gt;'By category'!$B$28),J75,Q74)</f>
        <v>4073.69</v>
      </c>
      <c r="R75" s="1">
        <f>IF(OR(J75="",D75="",N75='By category'!$B$28,Q74=""),0,IF(ABS(Q74+D75-J75)&gt;0.005,1,0))</f>
        <v>0.0</v>
      </c>
      <c r="T75" s="1" t="str">
        <f>IF(R75=1,Q74+D75,"")</f>
        <v/>
      </c>
    </row>
    <row r="76" spans="1:20">
      <c r="A76" s="40"/>
      <c r="B76" s="47"/>
      <c r="C76" s="42"/>
      <c r="D76" s="48"/>
      <c r="E76" s="42"/>
      <c r="F76" s="43"/>
      <c r="G76" s="40" t="str">
        <f>IF(AND(E76="",D76=""),"",IF(OR(E76="",E76='By category'!$C$6),"Needs you",IF(E76&lt;&gt;O76,"You decided",IF(F76&lt;&gt;"","You checked",P76))))</f>
        <v/>
      </c>
      <c r="M76" s="1" t="str">
        <f>IF(B76="","",DATE(YEAR(B76),MONTH(B76),1))</f>
        <v/>
      </c>
      <c r="N76" s="1" t="str">
        <f>IF(D76="","",IF(E76="",'By category'!$B$6,IFERROR(INDEX('By category'!$B$6:$B$31,MATCH(E76,'By category'!$C$6:$C$31,0)),"none")))</f>
        <v/>
      </c>
      <c r="Q76" s="1">
        <f>IF(AND(J76&lt;&gt;"",N76&lt;&gt;'By category'!$B$28),J76,Q75)</f>
        <v>4073.69</v>
      </c>
      <c r="R76" s="1">
        <f>IF(OR(J76="",D76="",N76='By category'!$B$28,Q75=""),0,IF(ABS(Q75+D76-J76)&gt;0.005,1,0))</f>
        <v>0.0</v>
      </c>
      <c r="T76" s="1" t="str">
        <f>IF(R76=1,Q75+D76,"")</f>
        <v/>
      </c>
    </row>
    <row r="77" spans="1:20">
      <c r="A77" s="40"/>
      <c r="B77" s="47"/>
      <c r="C77" s="42"/>
      <c r="D77" s="48"/>
      <c r="E77" s="42"/>
      <c r="F77" s="43"/>
      <c r="G77" s="40" t="str">
        <f>IF(AND(E77="",D77=""),"",IF(OR(E77="",E77='By category'!$C$6),"Needs you",IF(E77&lt;&gt;O77,"You decided",IF(F77&lt;&gt;"","You checked",P77))))</f>
        <v/>
      </c>
      <c r="M77" s="1" t="str">
        <f>IF(B77="","",DATE(YEAR(B77),MONTH(B77),1))</f>
        <v/>
      </c>
      <c r="N77" s="1" t="str">
        <f>IF(D77="","",IF(E77="",'By category'!$B$6,IFERROR(INDEX('By category'!$B$6:$B$31,MATCH(E77,'By category'!$C$6:$C$31,0)),"none")))</f>
        <v/>
      </c>
      <c r="Q77" s="1">
        <f>IF(AND(J77&lt;&gt;"",N77&lt;&gt;'By category'!$B$28),J77,Q76)</f>
        <v>4073.69</v>
      </c>
      <c r="R77" s="1">
        <f>IF(OR(J77="",D77="",N77='By category'!$B$28,Q76=""),0,IF(ABS(Q76+D77-J77)&gt;0.005,1,0))</f>
        <v>0.0</v>
      </c>
      <c r="T77" s="1" t="str">
        <f>IF(R77=1,Q76+D77,"")</f>
        <v/>
      </c>
    </row>
  </sheetData>
  <sheetProtection sheet="1" objects="1" scenarios="1" formatColumns="0" formatRows="0" sort="0" autoFilter="0"/>
  <autoFilter ref="A5:L77"/>
  <conditionalFormatting sqref="A6:L77">
    <cfRule type="expression" dxfId="0" priority="1">
      <formula>$G6="Needs you"</formula>
    </cfRule>
  </conditionalFormatting>
  <conditionalFormatting sqref="G6:G77">
    <cfRule type="expression" dxfId="1" priority="2">
      <formula>$G6="Our guess, not checked"</formula>
    </cfRule>
  </conditionalFormatting>
  <conditionalFormatting sqref="E6:E77">
    <cfRule type="expression" dxfId="2" priority="3">
      <formula>$N6="Money in"</formula>
    </cfRule>
    <cfRule type="expression" dxfId="3" priority="4">
      <formula>$N6="Spending"</formula>
    </cfRule>
    <cfRule type="expression" dxfId="4" priority="5">
      <formula>$N6="Tax and government"</formula>
    </cfRule>
    <cfRule type="expression" dxfId="5" priority="6">
      <formula>$N6="Private"</formula>
    </cfRule>
    <cfRule type="expression" dxfId="6" priority="7">
      <formula>$N6="Large purchases"</formula>
    </cfRule>
    <cfRule type="expression" dxfId="7" priority="8">
      <formula>$N6="Between my accounts"</formula>
    </cfRule>
    <cfRule type="expression" dxfId="7" priority="9">
      <formula>$N6="Loan money"</formula>
    </cfRule>
    <cfRule type="expression" dxfId="8" priority="10">
      <formula>$N6="Left out"</formula>
    </cfRule>
  </conditionalFormatting>
  <dataValidations count="1">
    <dataValidation type="list" allowBlank="1" showInputMessage="1" showErrorMessage="1" errorTitle="Category" error="Pick one from the list, or add your own name at the end of the By category sheet." sqref="E6:E77">
      <formula1>'By category'!$C$6:$C$31</formula1>
    </dataValidation>
  </dataValidations>
  <pageMargins left="0.4" right="0.4" top="0.45" bottom="0.45" header="0.3" footer="0.3"/>
  <pageSetup paperSize="9" fitToHeight="0" orientation="landscape"/>
</worksheet>
</file>

<file path=xl/worksheets/sheet3.xml><?xml version="1.0" encoding="utf-8"?>
<worksheet xmlns="http://schemas.openxmlformats.org/spreadsheetml/2006/main" xmlns:r="http://schemas.openxmlformats.org/officeDocument/2006/relationships">
  <sheetPr>
    <tabColor rgb="FF16203A"/>
    <pageSetUpPr fitToPage="1"/>
  </sheetPr>
  <dimension ref="A2:AE46"/>
  <sheetViews>
    <sheetView showGridLines="0" workbookViewId="0">
      <pane ySplit="5" topLeftCell="A6" activePane="bottomLeft" state="frozen"/>
      <selection pane="bottomLeft"/>
    </sheetView>
  </sheetViews>
  <sheetFormatPr defaultRowHeight="15"/>
  <cols>
    <col min="1" max="1" width="3.28515625" style="1" customWidth="1"/>
    <col min="2" max="2" width="22.7109375" style="1" customWidth="1"/>
    <col min="3" max="3" width="38.7109375" style="1" customWidth="1"/>
    <col min="4" max="4" width="9.7109375" style="1" customWidth="1"/>
    <col min="5" max="7" width="15.7109375" style="1" customWidth="1"/>
    <col min="8" max="8" width="3.28515625" style="1" customWidth="1"/>
    <col min="9" max="31" width="9.7109375" style="1" customWidth="1"/>
  </cols>
  <sheetData>
    <row r="2" spans="2:7" s="1" customFormat="1" ht="27.75" customHeight="1">
      <c r="B2" s="36" t="s">
        <v>108</v>
      </c>
    </row>
    <row r="3" spans="2:7">
      <c r="B3" s="4" t="s">
        <v>109</v>
      </c>
    </row>
    <row r="4" spans="2:7">
      <c r="B4" s="5" t="s">
        <v>2</v>
      </c>
    </row>
    <row r="5" spans="2:7">
      <c r="B5" s="21" t="s">
        <v>110</v>
      </c>
      <c r="C5" s="21" t="s">
        <v>7</v>
      </c>
      <c r="D5" s="22" t="s">
        <v>111</v>
      </c>
      <c r="E5" s="22" t="s">
        <v>112</v>
      </c>
      <c r="F5" s="22" t="s">
        <v>113</v>
      </c>
      <c r="G5" s="22" t="s">
        <v>114</v>
      </c>
    </row>
    <row r="6" spans="2:7">
      <c r="B6" s="31" t="s">
        <v>115</v>
      </c>
      <c r="C6" s="31" t="s">
        <v>46</v>
      </c>
      <c r="D6" s="49">
        <f>IF(C6="","",COUNTIFS('Detail'!$N$6:$N$77,'By category'!$B$6,'Detail'!$D$6:$D$77,"&lt;&gt;"))</f>
        <v>9.0</v>
      </c>
      <c r="E6" s="50">
        <f>IF(C6="","",SUMIFS('Detail'!$D$6:$D$77,'Detail'!$N$6:$N$77,'By category'!$B$6,'Detail'!$D$6:$D$77,"&gt;0"))</f>
        <v>3324.0</v>
      </c>
      <c r="F6" s="50">
        <f>IF(C6="","",SUMIFS('Detail'!$D$6:$D$77,'Detail'!$N$6:$N$77,'By category'!$B$6,'Detail'!$D$6:$D$77,"&lt;0"))</f>
        <v>-2365.1</v>
      </c>
      <c r="G6" s="51">
        <f>IF(C6="","",E6+F6)</f>
        <v>958.9000000000001</v>
      </c>
    </row>
    <row r="7" spans="2:7">
      <c r="B7" s="52" t="s">
        <v>112</v>
      </c>
      <c r="C7" s="53" t="s">
        <v>34</v>
      </c>
      <c r="D7" s="49">
        <f>IF(C7="","",COUNTIFS('Detail'!$E$6:$E$77,C7,'Detail'!$D$6:$D$77,"&lt;&gt;"))</f>
        <v>4.0</v>
      </c>
      <c r="E7" s="50">
        <f>IF(C7="","",SUMIFS('Detail'!$D$6:$D$77,'Detail'!$E$6:$E$77,C7,'Detail'!$D$6:$D$77,"&gt;0"))</f>
        <v>12475.0</v>
      </c>
      <c r="F7" s="50">
        <f>IF(C7="","",SUMIFS('Detail'!$D$6:$D$77,'Detail'!$E$6:$E$77,C7,'Detail'!$D$6:$D$77,"&lt;0"))</f>
        <v>0.0</v>
      </c>
      <c r="G7" s="51">
        <f>IF(C7="","",E7+F7)</f>
        <v>12475.0</v>
      </c>
    </row>
    <row r="8" spans="2:7">
      <c r="B8" s="54" t="s">
        <v>112</v>
      </c>
      <c r="C8" s="55" t="s">
        <v>106</v>
      </c>
      <c r="D8" s="56">
        <f>IF(C8="","",COUNTIFS('Detail'!$E$6:$E$77,C8,'Detail'!$D$6:$D$77,"&lt;&gt;"))</f>
        <v>1.0</v>
      </c>
      <c r="E8" s="57">
        <f>IF(C8="","",SUMIFS('Detail'!$D$6:$D$77,'Detail'!$E$6:$E$77,C8,'Detail'!$D$6:$D$77,"&gt;0"))</f>
        <v>3.18</v>
      </c>
      <c r="F8" s="57">
        <f>IF(C8="","",SUMIFS('Detail'!$D$6:$D$77,'Detail'!$E$6:$E$77,C8,'Detail'!$D$6:$D$77,"&lt;0"))</f>
        <v>0.0</v>
      </c>
      <c r="G8" s="58">
        <f>IF(C8="","",E8+F8)</f>
        <v>3.18</v>
      </c>
    </row>
    <row r="9" spans="2:7">
      <c r="B9" s="54" t="s">
        <v>112</v>
      </c>
      <c r="C9" s="55" t="s">
        <v>116</v>
      </c>
      <c r="D9" s="56">
        <f>IF(C9="","",COUNTIFS('Detail'!$E$6:$E$77,C9,'Detail'!$D$6:$D$77,"&lt;&gt;"))</f>
        <v>0.0</v>
      </c>
      <c r="E9" s="57">
        <f>IF(C9="","",SUMIFS('Detail'!$D$6:$D$77,'Detail'!$E$6:$E$77,C9,'Detail'!$D$6:$D$77,"&gt;0"))</f>
        <v>0.0</v>
      </c>
      <c r="F9" s="57">
        <f>IF(C9="","",SUMIFS('Detail'!$D$6:$D$77,'Detail'!$E$6:$E$77,C9,'Detail'!$D$6:$D$77,"&lt;0"))</f>
        <v>0.0</v>
      </c>
      <c r="G9" s="58">
        <f>IF(C9="","",E9+F9)</f>
        <v>0.0</v>
      </c>
    </row>
    <row r="10" spans="2:7">
      <c r="B10" s="59" t="s">
        <v>117</v>
      </c>
      <c r="C10" s="53" t="s">
        <v>37</v>
      </c>
      <c r="D10" s="49">
        <f>IF(C10="","",COUNTIFS('Detail'!$E$6:$E$77,C10,'Detail'!$D$6:$D$77,"&lt;&gt;"))</f>
        <v>3.0</v>
      </c>
      <c r="E10" s="50">
        <f>IF(C10="","",SUMIFS('Detail'!$D$6:$D$77,'Detail'!$E$6:$E$77,C10,'Detail'!$D$6:$D$77,"&gt;0"))</f>
        <v>120.0</v>
      </c>
      <c r="F10" s="50">
        <f>IF(C10="","",SUMIFS('Detail'!$D$6:$D$77,'Detail'!$E$6:$E$77,C10,'Detail'!$D$6:$D$77,"&lt;0"))</f>
        <v>-1392.5</v>
      </c>
      <c r="G10" s="51">
        <f>IF(C10="","",E10+F10)</f>
        <v>-1272.5</v>
      </c>
    </row>
    <row r="11" spans="2:7">
      <c r="B11" s="60" t="s">
        <v>117</v>
      </c>
      <c r="C11" s="55" t="s">
        <v>118</v>
      </c>
      <c r="D11" s="56">
        <f>IF(C11="","",COUNTIFS('Detail'!$E$6:$E$77,C11,'Detail'!$D$6:$D$77,"&lt;&gt;"))</f>
        <v>0.0</v>
      </c>
      <c r="E11" s="57">
        <f>IF(C11="","",SUMIFS('Detail'!$D$6:$D$77,'Detail'!$E$6:$E$77,C11,'Detail'!$D$6:$D$77,"&gt;0"))</f>
        <v>0.0</v>
      </c>
      <c r="F11" s="57">
        <f>IF(C11="","",SUMIFS('Detail'!$D$6:$D$77,'Detail'!$E$6:$E$77,C11,'Detail'!$D$6:$D$77,"&lt;0"))</f>
        <v>0.0</v>
      </c>
      <c r="G11" s="58">
        <f>IF(C11="","",E11+F11)</f>
        <v>0.0</v>
      </c>
    </row>
    <row r="12" spans="2:7">
      <c r="B12" s="60" t="s">
        <v>117</v>
      </c>
      <c r="C12" s="55" t="s">
        <v>29</v>
      </c>
      <c r="D12" s="56">
        <f>IF(C12="","",COUNTIFS('Detail'!$E$6:$E$77,C12,'Detail'!$D$6:$D$77,"&lt;&gt;"))</f>
        <v>3.0</v>
      </c>
      <c r="E12" s="57">
        <f>IF(C12="","",SUMIFS('Detail'!$D$6:$D$77,'Detail'!$E$6:$E$77,C12,'Detail'!$D$6:$D$77,"&gt;0"))</f>
        <v>0.0</v>
      </c>
      <c r="F12" s="57">
        <f>IF(C12="","",SUMIFS('Detail'!$D$6:$D$77,'Detail'!$E$6:$E$77,C12,'Detail'!$D$6:$D$77,"&lt;0"))</f>
        <v>-6450.0</v>
      </c>
      <c r="G12" s="58">
        <f>IF(C12="","",E12+F12)</f>
        <v>-6450.0</v>
      </c>
    </row>
    <row r="13" spans="2:7">
      <c r="B13" s="60" t="s">
        <v>117</v>
      </c>
      <c r="C13" s="55" t="s">
        <v>40</v>
      </c>
      <c r="D13" s="56">
        <f>IF(C13="","",COUNTIFS('Detail'!$E$6:$E$77,C13,'Detail'!$D$6:$D$77,"&lt;&gt;"))</f>
        <v>3.0</v>
      </c>
      <c r="E13" s="57">
        <f>IF(C13="","",SUMIFS('Detail'!$D$6:$D$77,'Detail'!$E$6:$E$77,C13,'Detail'!$D$6:$D$77,"&gt;0"))</f>
        <v>0.0</v>
      </c>
      <c r="F13" s="57">
        <f>IF(C13="","",SUMIFS('Detail'!$D$6:$D$77,'Detail'!$E$6:$E$77,C13,'Detail'!$D$6:$D$77,"&lt;0"))</f>
        <v>-915.35</v>
      </c>
      <c r="G13" s="58">
        <f>IF(C13="","",E13+F13)</f>
        <v>-915.35</v>
      </c>
    </row>
    <row r="14" spans="2:7">
      <c r="B14" s="60" t="s">
        <v>117</v>
      </c>
      <c r="C14" s="55" t="s">
        <v>56</v>
      </c>
      <c r="D14" s="56">
        <f>IF(C14="","",COUNTIFS('Detail'!$E$6:$E$77,C14,'Detail'!$D$6:$D$77,"&lt;&gt;"))</f>
        <v>3.0</v>
      </c>
      <c r="E14" s="57">
        <f>IF(C14="","",SUMIFS('Detail'!$D$6:$D$77,'Detail'!$E$6:$E$77,C14,'Detail'!$D$6:$D$77,"&gt;0"))</f>
        <v>0.0</v>
      </c>
      <c r="F14" s="57">
        <f>IF(C14="","",SUMIFS('Detail'!$D$6:$D$77,'Detail'!$E$6:$E$77,C14,'Detail'!$D$6:$D$77,"&lt;0"))</f>
        <v>-195.0</v>
      </c>
      <c r="G14" s="58">
        <f>IF(C14="","",E14+F14)</f>
        <v>-195.0</v>
      </c>
    </row>
    <row r="15" spans="2:7">
      <c r="B15" s="60" t="s">
        <v>117</v>
      </c>
      <c r="C15" s="55" t="s">
        <v>69</v>
      </c>
      <c r="D15" s="56">
        <f>IF(C15="","",COUNTIFS('Detail'!$E$6:$E$77,C15,'Detail'!$D$6:$D$77,"&lt;&gt;"))</f>
        <v>3.0</v>
      </c>
      <c r="E15" s="57">
        <f>IF(C15="","",SUMIFS('Detail'!$D$6:$D$77,'Detail'!$E$6:$E$77,C15,'Detail'!$D$6:$D$77,"&gt;0"))</f>
        <v>0.0</v>
      </c>
      <c r="F15" s="57">
        <f>IF(C15="","",SUMIFS('Detail'!$D$6:$D$77,'Detail'!$E$6:$E$77,C15,'Detail'!$D$6:$D$77,"&lt;0"))</f>
        <v>-117.0</v>
      </c>
      <c r="G15" s="58">
        <f>IF(C15="","",E15+F15)</f>
        <v>-117.0</v>
      </c>
    </row>
    <row r="16" spans="2:7">
      <c r="B16" s="60" t="s">
        <v>117</v>
      </c>
      <c r="C16" s="55" t="s">
        <v>119</v>
      </c>
      <c r="D16" s="56">
        <f>IF(C16="","",COUNTIFS('Detail'!$E$6:$E$77,C16,'Detail'!$D$6:$D$77,"&lt;&gt;"))</f>
        <v>0.0</v>
      </c>
      <c r="E16" s="57">
        <f>IF(C16="","",SUMIFS('Detail'!$D$6:$D$77,'Detail'!$E$6:$E$77,C16,'Detail'!$D$6:$D$77,"&gt;0"))</f>
        <v>0.0</v>
      </c>
      <c r="F16" s="57">
        <f>IF(C16="","",SUMIFS('Detail'!$D$6:$D$77,'Detail'!$E$6:$E$77,C16,'Detail'!$D$6:$D$77,"&lt;0"))</f>
        <v>0.0</v>
      </c>
      <c r="G16" s="58">
        <f>IF(C16="","",E16+F16)</f>
        <v>0.0</v>
      </c>
    </row>
    <row r="17" spans="2:7">
      <c r="B17" s="60" t="s">
        <v>117</v>
      </c>
      <c r="C17" s="55" t="s">
        <v>63</v>
      </c>
      <c r="D17" s="56">
        <f>IF(C17="","",COUNTIFS('Detail'!$E$6:$E$77,C17,'Detail'!$D$6:$D$77,"&lt;&gt;"))</f>
        <v>2.0</v>
      </c>
      <c r="E17" s="57">
        <f>IF(C17="","",SUMIFS('Detail'!$D$6:$D$77,'Detail'!$E$6:$E$77,C17,'Detail'!$D$6:$D$77,"&gt;0"))</f>
        <v>0.0</v>
      </c>
      <c r="F17" s="57">
        <f>IF(C17="","",SUMIFS('Detail'!$D$6:$D$77,'Detail'!$E$6:$E$77,C17,'Detail'!$D$6:$D$77,"&lt;0"))</f>
        <v>-182.39999999999998</v>
      </c>
      <c r="G17" s="58">
        <f>IF(C17="","",E17+F17)</f>
        <v>-182.39999999999998</v>
      </c>
    </row>
    <row r="18" spans="2:7">
      <c r="B18" s="60" t="s">
        <v>117</v>
      </c>
      <c r="C18" s="55" t="s">
        <v>86</v>
      </c>
      <c r="D18" s="56">
        <f>IF(C18="","",COUNTIFS('Detail'!$E$6:$E$77,C18,'Detail'!$D$6:$D$77,"&lt;&gt;"))</f>
        <v>1.0</v>
      </c>
      <c r="E18" s="57">
        <f>IF(C18="","",SUMIFS('Detail'!$D$6:$D$77,'Detail'!$E$6:$E$77,C18,'Detail'!$D$6:$D$77,"&gt;0"))</f>
        <v>0.0</v>
      </c>
      <c r="F18" s="57">
        <f>IF(C18="","",SUMIFS('Detail'!$D$6:$D$77,'Detail'!$E$6:$E$77,C18,'Detail'!$D$6:$D$77,"&lt;0"))</f>
        <v>-36.5</v>
      </c>
      <c r="G18" s="58">
        <f>IF(C18="","",E18+F18)</f>
        <v>-36.5</v>
      </c>
    </row>
    <row r="19" spans="2:7">
      <c r="B19" s="60" t="s">
        <v>117</v>
      </c>
      <c r="C19" s="55" t="s">
        <v>66</v>
      </c>
      <c r="D19" s="56">
        <f>IF(C19="","",COUNTIFS('Detail'!$E$6:$E$77,C19,'Detail'!$D$6:$D$77,"&lt;&gt;"))</f>
        <v>1.0</v>
      </c>
      <c r="E19" s="57">
        <f>IF(C19="","",SUMIFS('Detail'!$D$6:$D$77,'Detail'!$E$6:$E$77,C19,'Detail'!$D$6:$D$77,"&gt;0"))</f>
        <v>0.0</v>
      </c>
      <c r="F19" s="57">
        <f>IF(C19="","",SUMIFS('Detail'!$D$6:$D$77,'Detail'!$E$6:$E$77,C19,'Detail'!$D$6:$D$77,"&lt;0"))</f>
        <v>-428.0</v>
      </c>
      <c r="G19" s="58">
        <f>IF(C19="","",E19+F19)</f>
        <v>-428.0</v>
      </c>
    </row>
    <row r="20" spans="2:7">
      <c r="B20" s="60" t="s">
        <v>117</v>
      </c>
      <c r="C20" s="55" t="s">
        <v>52</v>
      </c>
      <c r="D20" s="56">
        <f>IF(C20="","",COUNTIFS('Detail'!$E$6:$E$77,C20,'Detail'!$D$6:$D$77,"&lt;&gt;"))</f>
        <v>3.0</v>
      </c>
      <c r="E20" s="57">
        <f>IF(C20="","",SUMIFS('Detail'!$D$6:$D$77,'Detail'!$E$6:$E$77,C20,'Detail'!$D$6:$D$77,"&gt;0"))</f>
        <v>0.0</v>
      </c>
      <c r="F20" s="57">
        <f>IF(C20="","",SUMIFS('Detail'!$D$6:$D$77,'Detail'!$E$6:$E$77,C20,'Detail'!$D$6:$D$77,"&lt;0"))</f>
        <v>-133.04000000000002</v>
      </c>
      <c r="G20" s="58">
        <f>IF(C20="","",E20+F20)</f>
        <v>-133.04000000000002</v>
      </c>
    </row>
    <row r="21" spans="2:7">
      <c r="B21" s="60" t="s">
        <v>117</v>
      </c>
      <c r="C21" s="55" t="s">
        <v>83</v>
      </c>
      <c r="D21" s="56">
        <f>IF(C21="","",COUNTIFS('Detail'!$E$6:$E$77,C21,'Detail'!$D$6:$D$77,"&lt;&gt;"))</f>
        <v>1.0</v>
      </c>
      <c r="E21" s="57">
        <f>IF(C21="","",SUMIFS('Detail'!$D$6:$D$77,'Detail'!$E$6:$E$77,C21,'Detail'!$D$6:$D$77,"&gt;0"))</f>
        <v>0.0</v>
      </c>
      <c r="F21" s="57">
        <f>IF(C21="","",SUMIFS('Detail'!$D$6:$D$77,'Detail'!$E$6:$E$77,C21,'Detail'!$D$6:$D$77,"&lt;0"))</f>
        <v>-220.0</v>
      </c>
      <c r="G21" s="58">
        <f>IF(C21="","",E21+F21)</f>
        <v>-220.0</v>
      </c>
    </row>
    <row r="22" spans="2:7">
      <c r="B22" s="60" t="s">
        <v>117</v>
      </c>
      <c r="C22" s="55" t="s">
        <v>120</v>
      </c>
      <c r="D22" s="56">
        <f>IF(C22="","",COUNTIFS('Detail'!$E$6:$E$77,C22,'Detail'!$D$6:$D$77,"&lt;&gt;"))</f>
        <v>0.0</v>
      </c>
      <c r="E22" s="57">
        <f>IF(C22="","",SUMIFS('Detail'!$D$6:$D$77,'Detail'!$E$6:$E$77,C22,'Detail'!$D$6:$D$77,"&gt;0"))</f>
        <v>0.0</v>
      </c>
      <c r="F22" s="57">
        <f>IF(C22="","",SUMIFS('Detail'!$D$6:$D$77,'Detail'!$E$6:$E$77,C22,'Detail'!$D$6:$D$77,"&lt;0"))</f>
        <v>0.0</v>
      </c>
      <c r="G22" s="58">
        <f>IF(C22="","",E22+F22)</f>
        <v>0.0</v>
      </c>
    </row>
    <row r="23" spans="2:7">
      <c r="B23" s="61" t="s">
        <v>121</v>
      </c>
      <c r="C23" s="53" t="s">
        <v>90</v>
      </c>
      <c r="D23" s="49">
        <f>IF(C23="","",COUNTIFS('Detail'!$E$6:$E$77,C23,'Detail'!$D$6:$D$77,"&lt;&gt;"))</f>
        <v>1.0</v>
      </c>
      <c r="E23" s="50">
        <f>IF(C23="","",SUMIFS('Detail'!$D$6:$D$77,'Detail'!$E$6:$E$77,C23,'Detail'!$D$6:$D$77,"&gt;0"))</f>
        <v>0.0</v>
      </c>
      <c r="F23" s="50">
        <f>IF(C23="","",SUMIFS('Detail'!$D$6:$D$77,'Detail'!$E$6:$E$77,C23,'Detail'!$D$6:$D$77,"&lt;0"))</f>
        <v>-1860.0</v>
      </c>
      <c r="G23" s="51">
        <f>IF(C23="","",E23+F23)</f>
        <v>-1860.0</v>
      </c>
    </row>
    <row r="24" spans="2:7">
      <c r="B24" s="62" t="s">
        <v>48</v>
      </c>
      <c r="C24" s="53" t="s">
        <v>48</v>
      </c>
      <c r="D24" s="49">
        <f>IF(C24="","",COUNTIFS('Detail'!$E$6:$E$77,C24,'Detail'!$D$6:$D$77,"&lt;&gt;"))</f>
        <v>1.0</v>
      </c>
      <c r="E24" s="50">
        <f>IF(C24="","",SUMIFS('Detail'!$D$6:$D$77,'Detail'!$E$6:$E$77,C24,'Detail'!$D$6:$D$77,"&gt;0"))</f>
        <v>0.0</v>
      </c>
      <c r="F24" s="50">
        <f>IF(C24="","",SUMIFS('Detail'!$D$6:$D$77,'Detail'!$E$6:$E$77,C24,'Detail'!$D$6:$D$77,"&lt;0"))</f>
        <v>-186.2</v>
      </c>
      <c r="G24" s="51">
        <f>IF(C24="","",E24+F24)</f>
        <v>-186.2</v>
      </c>
    </row>
    <row r="25" spans="2:7">
      <c r="B25" s="63" t="s">
        <v>122</v>
      </c>
      <c r="C25" s="53" t="s">
        <v>77</v>
      </c>
      <c r="D25" s="49">
        <f>IF(C25="","",COUNTIFS('Detail'!$E$6:$E$77,C25,'Detail'!$D$6:$D$77,"&lt;&gt;"))</f>
        <v>1.0</v>
      </c>
      <c r="E25" s="50">
        <f>IF(C25="","",SUMIFS('Detail'!$D$6:$D$77,'Detail'!$E$6:$E$77,C25,'Detail'!$D$6:$D$77,"&gt;0"))</f>
        <v>0.0</v>
      </c>
      <c r="F25" s="50">
        <f>IF(C25="","",SUMIFS('Detail'!$D$6:$D$77,'Detail'!$E$6:$E$77,C25,'Detail'!$D$6:$D$77,"&lt;0"))</f>
        <v>-4280.0</v>
      </c>
      <c r="G25" s="51">
        <f>IF(C25="","",E25+F25)</f>
        <v>-4280.0</v>
      </c>
    </row>
    <row r="26" spans="2:7">
      <c r="B26" s="64" t="s">
        <v>43</v>
      </c>
      <c r="C26" s="53" t="s">
        <v>43</v>
      </c>
      <c r="D26" s="49">
        <f>IF(C26="","",COUNTIFS('Detail'!$E$6:$E$77,C26,'Detail'!$D$6:$D$77,"&lt;&gt;"))</f>
        <v>2.0</v>
      </c>
      <c r="E26" s="50">
        <f>IF(C26="","",SUMIFS('Detail'!$D$6:$D$77,'Detail'!$E$6:$E$77,C26,'Detail'!$D$6:$D$77,"&gt;0"))</f>
        <v>0.0</v>
      </c>
      <c r="F26" s="50">
        <f>IF(C26="","",SUMIFS('Detail'!$D$6:$D$77,'Detail'!$E$6:$E$77,C26,'Detail'!$D$6:$D$77,"&lt;0"))</f>
        <v>-2500.0</v>
      </c>
      <c r="G26" s="51">
        <f>IF(C26="","",E26+F26)</f>
        <v>-2500.0</v>
      </c>
    </row>
    <row r="27" spans="2:7">
      <c r="B27" s="64" t="s">
        <v>102</v>
      </c>
      <c r="C27" s="53" t="s">
        <v>102</v>
      </c>
      <c r="D27" s="49">
        <f>IF(C27="","",COUNTIFS('Detail'!$E$6:$E$77,C27,'Detail'!$D$6:$D$77,"&lt;&gt;"))</f>
        <v>0.0</v>
      </c>
      <c r="E27" s="50">
        <f>IF(C27="","",SUMIFS('Detail'!$D$6:$D$77,'Detail'!$E$6:$E$77,C27,'Detail'!$D$6:$D$77,"&gt;0"))</f>
        <v>0.0</v>
      </c>
      <c r="F27" s="50">
        <f>IF(C27="","",SUMIFS('Detail'!$D$6:$D$77,'Detail'!$E$6:$E$77,C27,'Detail'!$D$6:$D$77,"&lt;0"))</f>
        <v>0.0</v>
      </c>
      <c r="G27" s="51">
        <f>IF(C27="","",E27+F27)</f>
        <v>0.0</v>
      </c>
    </row>
    <row r="28" spans="2:7">
      <c r="B28" s="65" t="s">
        <v>123</v>
      </c>
      <c r="C28" s="53" t="s">
        <v>124</v>
      </c>
      <c r="D28" s="49">
        <f>IF(C28="","",COUNTIFS('Detail'!$E$6:$E$77,C28,'Detail'!$D$6:$D$77,"&lt;&gt;"))</f>
        <v>0.0</v>
      </c>
      <c r="E28" s="50">
        <f>IF(C28="","",SUMIFS('Detail'!$D$6:$D$77,'Detail'!$E$6:$E$77,C28,'Detail'!$D$6:$D$77,"&gt;0"))</f>
        <v>0.0</v>
      </c>
      <c r="F28" s="50">
        <f>IF(C28="","",SUMIFS('Detail'!$D$6:$D$77,'Detail'!$E$6:$E$77,C28,'Detail'!$D$6:$D$77,"&lt;0"))</f>
        <v>0.0</v>
      </c>
      <c r="G28" s="51">
        <f>IF(C28="","",E28+F28)</f>
        <v>0.0</v>
      </c>
    </row>
    <row r="29" spans="2:7">
      <c r="B29" s="59" t="s">
        <v>117</v>
      </c>
      <c r="C29" s="66"/>
      <c r="D29" s="49" t="str">
        <f>IF(C29="","",COUNTIFS('Detail'!$E$6:$E$77,C29,'Detail'!$D$6:$D$77,"&lt;&gt;"))</f>
        <v/>
      </c>
      <c r="E29" s="50" t="str">
        <f>IF(C29="","",SUMIFS('Detail'!$D$6:$D$77,'Detail'!$E$6:$E$77,C29,'Detail'!$D$6:$D$77,"&gt;0"))</f>
        <v/>
      </c>
      <c r="F29" s="50" t="str">
        <f>IF(C29="","",SUMIFS('Detail'!$D$6:$D$77,'Detail'!$E$6:$E$77,C29,'Detail'!$D$6:$D$77,"&lt;0"))</f>
        <v/>
      </c>
      <c r="G29" s="51" t="str">
        <f>IF(C29="","",E29+F29)</f>
        <v/>
      </c>
    </row>
    <row r="30" spans="2:7">
      <c r="B30" s="60" t="s">
        <v>117</v>
      </c>
      <c r="C30" s="67"/>
      <c r="D30" s="56" t="str">
        <f>IF(C30="","",COUNTIFS('Detail'!$E$6:$E$77,C30,'Detail'!$D$6:$D$77,"&lt;&gt;"))</f>
        <v/>
      </c>
      <c r="E30" s="57" t="str">
        <f>IF(C30="","",SUMIFS('Detail'!$D$6:$D$77,'Detail'!$E$6:$E$77,C30,'Detail'!$D$6:$D$77,"&gt;0"))</f>
        <v/>
      </c>
      <c r="F30" s="57" t="str">
        <f>IF(C30="","",SUMIFS('Detail'!$D$6:$D$77,'Detail'!$E$6:$E$77,C30,'Detail'!$D$6:$D$77,"&lt;0"))</f>
        <v/>
      </c>
      <c r="G30" s="58" t="str">
        <f>IF(C30="","",E30+F30)</f>
        <v/>
      </c>
    </row>
    <row r="31" spans="2:7">
      <c r="B31" s="60" t="s">
        <v>117</v>
      </c>
      <c r="C31" s="67"/>
      <c r="D31" s="56" t="str">
        <f>IF(C31="","",COUNTIFS('Detail'!$E$6:$E$77,C31,'Detail'!$D$6:$D$77,"&lt;&gt;"))</f>
        <v/>
      </c>
      <c r="E31" s="57" t="str">
        <f>IF(C31="","",SUMIFS('Detail'!$D$6:$D$77,'Detail'!$E$6:$E$77,C31,'Detail'!$D$6:$D$77,"&gt;0"))</f>
        <v/>
      </c>
      <c r="F31" s="57" t="str">
        <f>IF(C31="","",SUMIFS('Detail'!$D$6:$D$77,'Detail'!$E$6:$E$77,C31,'Detail'!$D$6:$D$77,"&lt;0"))</f>
        <v/>
      </c>
      <c r="G31" s="58" t="str">
        <f>IF(C31="","",E31+F31)</f>
        <v/>
      </c>
    </row>
    <row r="32" spans="2:7">
      <c r="B32" s="68" t="s">
        <v>125</v>
      </c>
      <c r="C32" s="69"/>
      <c r="D32" s="69"/>
      <c r="E32" s="69"/>
      <c r="F32" s="69"/>
      <c r="G32" s="70">
        <f>SUM(G6:G31)-G28</f>
        <v>-5338.91</v>
      </c>
    </row>
    <row r="33" spans="2:7">
      <c r="B33" s="1" t="s">
        <v>126</v>
      </c>
      <c r="G33" s="71">
        <f>SUMIFS('Detail'!$D$6:$D$77,'Detail'!$N$6:$N$77,"&lt;&gt;"&amp;$B$28)</f>
        <v>-5338.91</v>
      </c>
    </row>
    <row r="34" spans="2:7">
      <c r="B34" s="1" t="s">
        <v>127</v>
      </c>
      <c r="G34" s="72">
        <f>ROUND(G32-G33,2)</f>
        <v>0.0</v>
      </c>
    </row>
    <row r="36" spans="2:7">
      <c r="B36" s="73" t="s">
        <v>128</v>
      </c>
    </row>
    <row r="37" spans="2:7">
      <c r="B37" s="30" t="s">
        <v>110</v>
      </c>
      <c r="C37" s="74"/>
      <c r="D37" s="22" t="s">
        <v>111</v>
      </c>
      <c r="E37" s="22" t="s">
        <v>114</v>
      </c>
    </row>
    <row r="38" spans="2:7">
      <c r="B38" s="10" t="s">
        <v>115</v>
      </c>
      <c r="C38" s="40"/>
      <c r="D38" s="75">
        <f>SUMIFS('By category'!$D$6:$D$31,'By category'!$B$6:$B$31,B38)</f>
        <v>9.0</v>
      </c>
      <c r="E38" s="11">
        <f>SUMIFS('By category'!$G$6:$G$31,'By category'!$B$6:$B$31,B38)</f>
        <v>958.9000000000001</v>
      </c>
    </row>
    <row r="39" spans="2:7">
      <c r="B39" s="14" t="s">
        <v>112</v>
      </c>
      <c r="C39" s="40"/>
      <c r="D39" s="75">
        <f>SUMIFS('By category'!$D$6:$D$31,'By category'!$B$6:$B$31,B39)</f>
        <v>5.0</v>
      </c>
      <c r="E39" s="11">
        <f>SUMIFS('By category'!$G$6:$G$31,'By category'!$B$6:$B$31,B39)</f>
        <v>12478.18</v>
      </c>
    </row>
    <row r="40" spans="2:7">
      <c r="B40" s="13" t="s">
        <v>117</v>
      </c>
      <c r="C40" s="40"/>
      <c r="D40" s="75">
        <f>SUMIFS('By category'!$D$6:$D$31,'By category'!$B$6:$B$31,B40)</f>
        <v>23.0</v>
      </c>
      <c r="E40" s="11">
        <f>SUMIFS('By category'!$G$6:$G$31,'By category'!$B$6:$B$31,B40)</f>
        <v>-9949.79</v>
      </c>
    </row>
    <row r="41" spans="2:7">
      <c r="B41" s="15" t="s">
        <v>121</v>
      </c>
      <c r="C41" s="40"/>
      <c r="D41" s="75">
        <f>SUMIFS('By category'!$D$6:$D$31,'By category'!$B$6:$B$31,B41)</f>
        <v>1.0</v>
      </c>
      <c r="E41" s="11">
        <f>SUMIFS('By category'!$G$6:$G$31,'By category'!$B$6:$B$31,B41)</f>
        <v>-1860.0</v>
      </c>
    </row>
    <row r="42" spans="2:7">
      <c r="B42" s="16" t="s">
        <v>48</v>
      </c>
      <c r="C42" s="40"/>
      <c r="D42" s="75">
        <f>SUMIFS('By category'!$D$6:$D$31,'By category'!$B$6:$B$31,B42)</f>
        <v>1.0</v>
      </c>
      <c r="E42" s="11">
        <f>SUMIFS('By category'!$G$6:$G$31,'By category'!$B$6:$B$31,B42)</f>
        <v>-186.2</v>
      </c>
    </row>
    <row r="43" spans="2:7">
      <c r="B43" s="17" t="s">
        <v>122</v>
      </c>
      <c r="C43" s="40"/>
      <c r="D43" s="75">
        <f>SUMIFS('By category'!$D$6:$D$31,'By category'!$B$6:$B$31,B43)</f>
        <v>1.0</v>
      </c>
      <c r="E43" s="11">
        <f>SUMIFS('By category'!$G$6:$G$31,'By category'!$B$6:$B$31,B43)</f>
        <v>-4280.0</v>
      </c>
    </row>
    <row r="44" spans="2:7">
      <c r="B44" s="18" t="s">
        <v>43</v>
      </c>
      <c r="C44" s="40"/>
      <c r="D44" s="75">
        <f>SUMIFS('By category'!$D$6:$D$31,'By category'!$B$6:$B$31,B44)</f>
        <v>2.0</v>
      </c>
      <c r="E44" s="11">
        <f>SUMIFS('By category'!$G$6:$G$31,'By category'!$B$6:$B$31,B44)</f>
        <v>-2500.0</v>
      </c>
    </row>
    <row r="45" spans="2:7">
      <c r="B45" s="18" t="s">
        <v>102</v>
      </c>
      <c r="C45" s="40"/>
      <c r="D45" s="75">
        <f>SUMIFS('By category'!$D$6:$D$31,'By category'!$B$6:$B$31,B45)</f>
        <v>0.0</v>
      </c>
      <c r="E45" s="11">
        <f>SUMIFS('By category'!$G$6:$G$31,'By category'!$B$6:$B$31,B45)</f>
        <v>0.0</v>
      </c>
    </row>
    <row r="46" spans="2:7">
      <c r="B46" s="19" t="s">
        <v>123</v>
      </c>
      <c r="C46" s="40"/>
      <c r="D46" s="75">
        <f>SUMIFS('By category'!$D$6:$D$31,'By category'!$B$6:$B$31,B46)</f>
        <v>0.0</v>
      </c>
      <c r="E46" s="11">
        <f>SUMIFS('By category'!$G$6:$G$31,'By category'!$B$6:$B$31,B46)</f>
        <v>0.0</v>
      </c>
    </row>
  </sheetData>
  <conditionalFormatting sqref="C6:G6">
    <cfRule type="expression" dxfId="9" priority="1">
      <formula>$D$6&gt;0</formula>
    </cfRule>
  </conditionalFormatting>
  <pageMargins left="0.4" right="0.4" top="0.45" bottom="0.45" header="0.3" footer="0.3"/>
  <pageSetup paperSize="9" fitToHeight="0" orientation="landscape"/>
</worksheet>
</file>

<file path=xl/worksheets/sheet4.xml><?xml version="1.0" encoding="utf-8"?>
<worksheet xmlns="http://schemas.openxmlformats.org/spreadsheetml/2006/main" xmlns:r="http://schemas.openxmlformats.org/officeDocument/2006/relationships">
  <sheetPr>
    <tabColor rgb="FF16203A"/>
    <pageSetUpPr fitToPage="1"/>
  </sheetPr>
  <dimension ref="A2:AE54"/>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5"/>
  <cols>
    <col min="1" max="1" width="3.28515625" style="1" customWidth="1"/>
    <col min="2" max="2" width="30.7109375" style="1" customWidth="1"/>
    <col min="3" max="13" width="14.7109375" style="1" customWidth="1"/>
    <col min="14" max="31" width="9.7109375" style="1" customWidth="1"/>
  </cols>
  <sheetData>
    <row r="2" spans="2:11" s="1" customFormat="1" ht="27.75" customHeight="1">
      <c r="B2" s="36" t="s">
        <v>129</v>
      </c>
    </row>
    <row r="3" spans="2:11">
      <c r="B3" s="5" t="s">
        <v>2</v>
      </c>
    </row>
    <row r="5" spans="2:11" s="1" customFormat="1" ht="32.25" customHeight="1">
      <c r="B5" s="76" t="s">
        <v>130</v>
      </c>
      <c r="C5" s="77" t="s">
        <v>112</v>
      </c>
      <c r="D5" s="77" t="s">
        <v>117</v>
      </c>
      <c r="E5" s="77" t="s">
        <v>121</v>
      </c>
      <c r="F5" s="77" t="s">
        <v>48</v>
      </c>
      <c r="G5" s="77" t="s">
        <v>122</v>
      </c>
      <c r="H5" s="77" t="s">
        <v>43</v>
      </c>
      <c r="I5" s="77" t="s">
        <v>102</v>
      </c>
      <c r="J5" s="77" t="s">
        <v>115</v>
      </c>
      <c r="K5" s="77" t="s">
        <v>131</v>
      </c>
    </row>
    <row r="6" spans="2:11">
      <c r="B6" s="78">
        <f>DATE(YEAR(MIN('Detail'!$B$6:$B$77)),MONTH(MIN('Detail'!$B$6:$B$77)),1)</f>
        <v>46235.0</v>
      </c>
      <c r="C6" s="79">
        <f>SUMIFS('Detail'!$D$6:$D$77,'Detail'!$M$6:$M$77,$B6,'Detail'!$N$6:$N$77,'By category'!$B$39)</f>
        <v>3280.0</v>
      </c>
      <c r="D6" s="79">
        <f>-SUMIFS('Detail'!$D$6:$D$77,'Detail'!$M$6:$M$77,$B6,'Detail'!$N$6:$N$77,'By category'!$B$40)</f>
        <v>3749.63</v>
      </c>
      <c r="E6" s="79">
        <f>-SUMIFS('Detail'!$D$6:$D$77,'Detail'!$M$6:$M$77,$B6,'Detail'!$N$6:$N$77,'By category'!$B$41)</f>
        <v>-0.0</v>
      </c>
      <c r="F6" s="79">
        <f>-SUMIFS('Detail'!$D$6:$D$77,'Detail'!$M$6:$M$77,$B6,'Detail'!$N$6:$N$77,'By category'!$B$42)</f>
        <v>186.2</v>
      </c>
      <c r="G6" s="79">
        <f>-SUMIFS('Detail'!$D$6:$D$77,'Detail'!$M$6:$M$77,$B6,'Detail'!$N$6:$N$77,'By category'!$B$43)</f>
        <v>-0.0</v>
      </c>
      <c r="H6" s="79">
        <f>SUMIFS('Detail'!$D$6:$D$77,'Detail'!$M$6:$M$77,$B6,'Detail'!$N$6:$N$77,'By category'!$B$44)</f>
        <v>-1500.0</v>
      </c>
      <c r="I6" s="79">
        <f>SUMIFS('Detail'!$D$6:$D$77,'Detail'!$M$6:$M$77,$B6,'Detail'!$N$6:$N$77,'By category'!$B$45)</f>
        <v>0.0</v>
      </c>
      <c r="J6" s="79">
        <f>SUMIFS('Detail'!$D$6:$D$77,'Detail'!$M$6:$M$77,$B6,'Detail'!$N$6:$N$77,'By category'!$B$38,'Detail'!$D$6:$D$77,"&gt;0")-SUMIFS('Detail'!$D$6:$D$77,'Detail'!$M$6:$M$77,$B6,'Detail'!$N$6:$N$77,'By category'!$B$38,'Detail'!$D$6:$D$77,"&lt;0")</f>
        <v>3560.0</v>
      </c>
      <c r="K6" s="11">
        <f>SUMIFS('Detail'!$D$6:$D$77,'Detail'!$M$6:$M$77,$B6,'Detail'!$N$6:$N$77,"&lt;&gt;"&amp;'By category'!$B$28)</f>
        <v>804.1699999999998</v>
      </c>
    </row>
    <row r="7" spans="2:11">
      <c r="B7" s="78">
        <f>EDATE(B6,1)</f>
        <v>46266.0</v>
      </c>
      <c r="C7" s="79">
        <f>SUMIFS('Detail'!$D$6:$D$77,'Detail'!$M$6:$M$77,$B7,'Detail'!$N$6:$N$77,'By category'!$B$39)</f>
        <v>5240.0</v>
      </c>
      <c r="D7" s="79">
        <f>-SUMIFS('Detail'!$D$6:$D$77,'Detail'!$M$6:$M$77,$B7,'Detail'!$N$6:$N$77,'By category'!$B$40)</f>
        <v>3511.4599999999996</v>
      </c>
      <c r="E7" s="79">
        <f>-SUMIFS('Detail'!$D$6:$D$77,'Detail'!$M$6:$M$77,$B7,'Detail'!$N$6:$N$77,'By category'!$B$41)</f>
        <v>1860.0</v>
      </c>
      <c r="F7" s="79">
        <f>-SUMIFS('Detail'!$D$6:$D$77,'Detail'!$M$6:$M$77,$B7,'Detail'!$N$6:$N$77,'By category'!$B$42)</f>
        <v>-0.0</v>
      </c>
      <c r="G7" s="79">
        <f>-SUMIFS('Detail'!$D$6:$D$77,'Detail'!$M$6:$M$77,$B7,'Detail'!$N$6:$N$77,'By category'!$B$43)</f>
        <v>4280.0</v>
      </c>
      <c r="H7" s="79">
        <f>SUMIFS('Detail'!$D$6:$D$77,'Detail'!$M$6:$M$77,$B7,'Detail'!$N$6:$N$77,'By category'!$B$44)</f>
        <v>0.0</v>
      </c>
      <c r="I7" s="79">
        <f>SUMIFS('Detail'!$D$6:$D$77,'Detail'!$M$6:$M$77,$B7,'Detail'!$N$6:$N$77,'By category'!$B$45)</f>
        <v>0.0</v>
      </c>
      <c r="J7" s="79">
        <f>SUMIFS('Detail'!$D$6:$D$77,'Detail'!$M$6:$M$77,$B7,'Detail'!$N$6:$N$77,'By category'!$B$38,'Detail'!$D$6:$D$77,"&gt;0")-SUMIFS('Detail'!$D$6:$D$77,'Detail'!$M$6:$M$77,$B7,'Detail'!$N$6:$N$77,'By category'!$B$38,'Detail'!$D$6:$D$77,"&lt;0")</f>
        <v>1050.5</v>
      </c>
      <c r="K7" s="11">
        <f>SUMIFS('Detail'!$D$6:$D$77,'Detail'!$M$6:$M$77,$B7,'Detail'!$N$6:$N$77,"&lt;&gt;"&amp;'By category'!$B$28)</f>
        <v>-5333.959999999999</v>
      </c>
    </row>
    <row r="8" spans="2:11">
      <c r="B8" s="78">
        <f>EDATE(B7,1)</f>
        <v>46296.0</v>
      </c>
      <c r="C8" s="79">
        <f>SUMIFS('Detail'!$D$6:$D$77,'Detail'!$M$6:$M$77,$B8,'Detail'!$N$6:$N$77,'By category'!$B$39)</f>
        <v>3958.18</v>
      </c>
      <c r="D8" s="79">
        <f>-SUMIFS('Detail'!$D$6:$D$77,'Detail'!$M$6:$M$77,$B8,'Detail'!$N$6:$N$77,'By category'!$B$40)</f>
        <v>2688.7</v>
      </c>
      <c r="E8" s="79">
        <f>-SUMIFS('Detail'!$D$6:$D$77,'Detail'!$M$6:$M$77,$B8,'Detail'!$N$6:$N$77,'By category'!$B$41)</f>
        <v>-0.0</v>
      </c>
      <c r="F8" s="79">
        <f>-SUMIFS('Detail'!$D$6:$D$77,'Detail'!$M$6:$M$77,$B8,'Detail'!$N$6:$N$77,'By category'!$B$42)</f>
        <v>-0.0</v>
      </c>
      <c r="G8" s="79">
        <f>-SUMIFS('Detail'!$D$6:$D$77,'Detail'!$M$6:$M$77,$B8,'Detail'!$N$6:$N$77,'By category'!$B$43)</f>
        <v>-0.0</v>
      </c>
      <c r="H8" s="79">
        <f>SUMIFS('Detail'!$D$6:$D$77,'Detail'!$M$6:$M$77,$B8,'Detail'!$N$6:$N$77,'By category'!$B$44)</f>
        <v>-1000.0</v>
      </c>
      <c r="I8" s="79">
        <f>SUMIFS('Detail'!$D$6:$D$77,'Detail'!$M$6:$M$77,$B8,'Detail'!$N$6:$N$77,'By category'!$B$45)</f>
        <v>0.0</v>
      </c>
      <c r="J8" s="79">
        <f>SUMIFS('Detail'!$D$6:$D$77,'Detail'!$M$6:$M$77,$B8,'Detail'!$N$6:$N$77,'By category'!$B$38,'Detail'!$D$6:$D$77,"&gt;0")-SUMIFS('Detail'!$D$6:$D$77,'Detail'!$M$6:$M$77,$B8,'Detail'!$N$6:$N$77,'By category'!$B$38,'Detail'!$D$6:$D$77,"&lt;0")</f>
        <v>1078.6</v>
      </c>
      <c r="K8" s="11">
        <f>SUMIFS('Detail'!$D$6:$D$77,'Detail'!$M$6:$M$77,$B8,'Detail'!$N$6:$N$77,"&lt;&gt;"&amp;'By category'!$B$28)</f>
        <v>-809.1200000000001</v>
      </c>
    </row>
    <row r="9" spans="2:11">
      <c r="B9" s="68" t="s">
        <v>132</v>
      </c>
      <c r="C9" s="70">
        <f>SUM(C6:C8)</f>
        <v>12478.18</v>
      </c>
      <c r="D9" s="70">
        <f>SUM(D6:D8)</f>
        <v>9949.79</v>
      </c>
      <c r="E9" s="70">
        <f>SUM(E6:E8)</f>
        <v>1860.0</v>
      </c>
      <c r="F9" s="70">
        <f>SUM(F6:F8)</f>
        <v>186.2</v>
      </c>
      <c r="G9" s="70">
        <f>SUM(G6:G8)</f>
        <v>4280.0</v>
      </c>
      <c r="H9" s="70">
        <f>SUM(H6:H8)</f>
        <v>-2500.0</v>
      </c>
      <c r="I9" s="70">
        <f>SUM(I6:I8)</f>
        <v>0.0</v>
      </c>
      <c r="J9" s="70">
        <f>SUM(J6:J8)</f>
        <v>5689.1</v>
      </c>
      <c r="K9" s="70">
        <f>SUM(K6:K8)</f>
        <v>-5338.909999999999</v>
      </c>
    </row>
    <row r="27" spans="2:5">
      <c r="B27" s="73" t="s">
        <v>133</v>
      </c>
    </row>
    <row r="28" spans="2:5">
      <c r="B28" s="30" t="s">
        <v>7</v>
      </c>
      <c r="C28" s="80">
        <f>$B$6</f>
        <v>46235.0</v>
      </c>
      <c r="D28" s="80">
        <f>$B$7</f>
        <v>46266.0</v>
      </c>
      <c r="E28" s="80">
        <f>$B$8</f>
        <v>46296.0</v>
      </c>
    </row>
    <row r="29" spans="2:5">
      <c r="B29" s="40" t="str">
        <f>IF('By category'!$C$6="","",'By category'!$C$6)</f>
        <v>Needs you</v>
      </c>
      <c r="C29" s="79">
        <f>IF($B29="","",SUMIFS('Detail'!$D$6:$D$77,'Detail'!$M$6:$M$77,C$28,'Detail'!$N$6:$N$77,'By category'!$B$6))</f>
        <v>2960.0</v>
      </c>
      <c r="D29" s="79">
        <f>IF($B29="","",SUMIFS('Detail'!$D$6:$D$77,'Detail'!$M$6:$M$77,D$28,'Detail'!$N$6:$N$77,'By category'!$B$6))</f>
        <v>-922.5</v>
      </c>
      <c r="E29" s="79">
        <f>IF($B29="","",SUMIFS('Detail'!$D$6:$D$77,'Detail'!$M$6:$M$77,E$28,'Detail'!$N$6:$N$77,'By category'!$B$6))</f>
        <v>-1078.6</v>
      </c>
    </row>
    <row r="30" spans="2:5">
      <c r="B30" s="40" t="str">
        <f>IF('By category'!$C$7="","",'By category'!$C$7)</f>
        <v>Sales and fees</v>
      </c>
      <c r="C30" s="79">
        <f>IF($B30="","",SUMIFS('Detail'!$D$6:$D$77,'Detail'!$M$6:$M$77,C$28,'Detail'!$E$6:$E$77,$B30))</f>
        <v>3280.0</v>
      </c>
      <c r="D30" s="79">
        <f>IF($B30="","",SUMIFS('Detail'!$D$6:$D$77,'Detail'!$M$6:$M$77,D$28,'Detail'!$E$6:$E$77,$B30))</f>
        <v>5240.0</v>
      </c>
      <c r="E30" s="79">
        <f>IF($B30="","",SUMIFS('Detail'!$D$6:$D$77,'Detail'!$M$6:$M$77,E$28,'Detail'!$E$6:$E$77,$B30))</f>
        <v>3955.0</v>
      </c>
    </row>
    <row r="31" spans="2:5">
      <c r="B31" s="40" t="str">
        <f>IF('By category'!$C$8="","",'By category'!$C$8)</f>
        <v>Interest received</v>
      </c>
      <c r="C31" s="79">
        <f>IF($B31="","",SUMIFS('Detail'!$D$6:$D$77,'Detail'!$M$6:$M$77,C$28,'Detail'!$E$6:$E$77,$B31))</f>
        <v>0.0</v>
      </c>
      <c r="D31" s="79">
        <f>IF($B31="","",SUMIFS('Detail'!$D$6:$D$77,'Detail'!$M$6:$M$77,D$28,'Detail'!$E$6:$E$77,$B31))</f>
        <v>0.0</v>
      </c>
      <c r="E31" s="79">
        <f>IF($B31="","",SUMIFS('Detail'!$D$6:$D$77,'Detail'!$M$6:$M$77,E$28,'Detail'!$E$6:$E$77,$B31))</f>
        <v>3.18</v>
      </c>
    </row>
    <row r="32" spans="2:5">
      <c r="B32" s="40" t="str">
        <f>IF('By category'!$C$9="","",'By category'!$C$9)</f>
        <v>Other income</v>
      </c>
      <c r="C32" s="79">
        <f>IF($B32="","",SUMIFS('Detail'!$D$6:$D$77,'Detail'!$M$6:$M$77,C$28,'Detail'!$E$6:$E$77,$B32))</f>
        <v>0.0</v>
      </c>
      <c r="D32" s="79">
        <f>IF($B32="","",SUMIFS('Detail'!$D$6:$D$77,'Detail'!$M$6:$M$77,D$28,'Detail'!$E$6:$E$77,$B32))</f>
        <v>0.0</v>
      </c>
      <c r="E32" s="79">
        <f>IF($B32="","",SUMIFS('Detail'!$D$6:$D$77,'Detail'!$M$6:$M$77,E$28,'Detail'!$E$6:$E$77,$B32))</f>
        <v>0.0</v>
      </c>
    </row>
    <row r="33" spans="2:5">
      <c r="B33" s="40" t="str">
        <f>IF('By category'!$C$10="","",'By category'!$C$10)</f>
        <v>Stock and materials</v>
      </c>
      <c r="C33" s="79">
        <f>IF($B33="","",SUMIFS('Detail'!$D$6:$D$77,'Detail'!$M$6:$M$77,C$28,'Detail'!$E$6:$E$77,$B33))</f>
        <v>-612.4</v>
      </c>
      <c r="D33" s="79">
        <f>IF($B33="","",SUMIFS('Detail'!$D$6:$D$77,'Detail'!$M$6:$M$77,D$28,'Detail'!$E$6:$E$77,$B33))</f>
        <v>-660.1</v>
      </c>
      <c r="E33" s="79">
        <f>IF($B33="","",SUMIFS('Detail'!$D$6:$D$77,'Detail'!$M$6:$M$77,E$28,'Detail'!$E$6:$E$77,$B33))</f>
        <v>0.0</v>
      </c>
    </row>
    <row r="34" spans="2:5">
      <c r="B34" s="40" t="str">
        <f>IF('By category'!$C$11="","",'By category'!$C$11)</f>
        <v>Wages and contractors</v>
      </c>
      <c r="C34" s="79">
        <f>IF($B34="","",SUMIFS('Detail'!$D$6:$D$77,'Detail'!$M$6:$M$77,C$28,'Detail'!$E$6:$E$77,$B34))</f>
        <v>0.0</v>
      </c>
      <c r="D34" s="79">
        <f>IF($B34="","",SUMIFS('Detail'!$D$6:$D$77,'Detail'!$M$6:$M$77,D$28,'Detail'!$E$6:$E$77,$B34))</f>
        <v>0.0</v>
      </c>
      <c r="E34" s="79">
        <f>IF($B34="","",SUMIFS('Detail'!$D$6:$D$77,'Detail'!$M$6:$M$77,E$28,'Detail'!$E$6:$E$77,$B34))</f>
        <v>0.0</v>
      </c>
    </row>
    <row r="35" spans="2:5">
      <c r="B35" s="40" t="str">
        <f>IF('By category'!$C$12="","",'By category'!$C$12)</f>
        <v>Rent</v>
      </c>
      <c r="C35" s="79">
        <f>IF($B35="","",SUMIFS('Detail'!$D$6:$D$77,'Detail'!$M$6:$M$77,C$28,'Detail'!$E$6:$E$77,$B35))</f>
        <v>-2150.0</v>
      </c>
      <c r="D35" s="79">
        <f>IF($B35="","",SUMIFS('Detail'!$D$6:$D$77,'Detail'!$M$6:$M$77,D$28,'Detail'!$E$6:$E$77,$B35))</f>
        <v>-2150.0</v>
      </c>
      <c r="E35" s="79">
        <f>IF($B35="","",SUMIFS('Detail'!$D$6:$D$77,'Detail'!$M$6:$M$77,E$28,'Detail'!$E$6:$E$77,$B35))</f>
        <v>-2150.0</v>
      </c>
    </row>
    <row r="36" spans="2:5">
      <c r="B36" s="40" t="str">
        <f>IF('By category'!$C$13="","",'By category'!$C$13)</f>
        <v>Power, water and gas</v>
      </c>
      <c r="C36" s="79">
        <f>IF($B36="","",SUMIFS('Detail'!$D$6:$D$77,'Detail'!$M$6:$M$77,C$28,'Detail'!$E$6:$E$77,$B36))</f>
        <v>-318.75</v>
      </c>
      <c r="D36" s="79">
        <f>IF($B36="","",SUMIFS('Detail'!$D$6:$D$77,'Detail'!$M$6:$M$77,D$28,'Detail'!$E$6:$E$77,$B36))</f>
        <v>-301.2</v>
      </c>
      <c r="E36" s="79">
        <f>IF($B36="","",SUMIFS('Detail'!$D$6:$D$77,'Detail'!$M$6:$M$77,E$28,'Detail'!$E$6:$E$77,$B36))</f>
        <v>-295.4</v>
      </c>
    </row>
    <row r="37" spans="2:5">
      <c r="B37" s="40" t="str">
        <f>IF('By category'!$C$14="","",'By category'!$C$14)</f>
        <v>Phone and internet</v>
      </c>
      <c r="C37" s="79">
        <f>IF($B37="","",SUMIFS('Detail'!$D$6:$D$77,'Detail'!$M$6:$M$77,C$28,'Detail'!$E$6:$E$77,$B37))</f>
        <v>-65.0</v>
      </c>
      <c r="D37" s="79">
        <f>IF($B37="","",SUMIFS('Detail'!$D$6:$D$77,'Detail'!$M$6:$M$77,D$28,'Detail'!$E$6:$E$77,$B37))</f>
        <v>-65.0</v>
      </c>
      <c r="E37" s="79">
        <f>IF($B37="","",SUMIFS('Detail'!$D$6:$D$77,'Detail'!$M$6:$M$77,E$28,'Detail'!$E$6:$E$77,$B37))</f>
        <v>-65.0</v>
      </c>
    </row>
    <row r="38" spans="2:5">
      <c r="B38" s="40" t="str">
        <f>IF('By category'!$C$15="","",'By category'!$C$15)</f>
        <v>Software and subscriptions</v>
      </c>
      <c r="C38" s="79">
        <f>IF($B38="","",SUMIFS('Detail'!$D$6:$D$77,'Detail'!$M$6:$M$77,C$28,'Detail'!$E$6:$E$77,$B38))</f>
        <v>-39.0</v>
      </c>
      <c r="D38" s="79">
        <f>IF($B38="","",SUMIFS('Detail'!$D$6:$D$77,'Detail'!$M$6:$M$77,D$28,'Detail'!$E$6:$E$77,$B38))</f>
        <v>-39.0</v>
      </c>
      <c r="E38" s="79">
        <f>IF($B38="","",SUMIFS('Detail'!$D$6:$D$77,'Detail'!$M$6:$M$77,E$28,'Detail'!$E$6:$E$77,$B38))</f>
        <v>-39.0</v>
      </c>
    </row>
    <row r="39" spans="2:5">
      <c r="B39" s="40" t="str">
        <f>IF('By category'!$C$16="","",'By category'!$C$16)</f>
        <v>Advertising</v>
      </c>
      <c r="C39" s="79">
        <f>IF($B39="","",SUMIFS('Detail'!$D$6:$D$77,'Detail'!$M$6:$M$77,C$28,'Detail'!$E$6:$E$77,$B39))</f>
        <v>0.0</v>
      </c>
      <c r="D39" s="79">
        <f>IF($B39="","",SUMIFS('Detail'!$D$6:$D$77,'Detail'!$M$6:$M$77,D$28,'Detail'!$E$6:$E$77,$B39))</f>
        <v>0.0</v>
      </c>
      <c r="E39" s="79">
        <f>IF($B39="","",SUMIFS('Detail'!$D$6:$D$77,'Detail'!$M$6:$M$77,E$28,'Detail'!$E$6:$E$77,$B39))</f>
        <v>0.0</v>
      </c>
    </row>
    <row r="40" spans="2:5">
      <c r="B40" s="40" t="str">
        <f>IF('By category'!$C$17="","",'By category'!$C$17)</f>
        <v>Travel and fuel</v>
      </c>
      <c r="C40" s="79">
        <f>IF($B40="","",SUMIFS('Detail'!$D$6:$D$77,'Detail'!$M$6:$M$77,C$28,'Detail'!$E$6:$E$77,$B40))</f>
        <v>-94.3</v>
      </c>
      <c r="D40" s="79">
        <f>IF($B40="","",SUMIFS('Detail'!$D$6:$D$77,'Detail'!$M$6:$M$77,D$28,'Detail'!$E$6:$E$77,$B40))</f>
        <v>0.0</v>
      </c>
      <c r="E40" s="79">
        <f>IF($B40="","",SUMIFS('Detail'!$D$6:$D$77,'Detail'!$M$6:$M$77,E$28,'Detail'!$E$6:$E$77,$B40))</f>
        <v>-88.1</v>
      </c>
    </row>
    <row r="41" spans="2:5">
      <c r="B41" s="40" t="str">
        <f>IF('By category'!$C$18="","",'By category'!$C$18)</f>
        <v>Office supplies</v>
      </c>
      <c r="C41" s="79">
        <f>IF($B41="","",SUMIFS('Detail'!$D$6:$D$77,'Detail'!$M$6:$M$77,C$28,'Detail'!$E$6:$E$77,$B41))</f>
        <v>0.0</v>
      </c>
      <c r="D41" s="79">
        <f>IF($B41="","",SUMIFS('Detail'!$D$6:$D$77,'Detail'!$M$6:$M$77,D$28,'Detail'!$E$6:$E$77,$B41))</f>
        <v>-36.5</v>
      </c>
      <c r="E41" s="79">
        <f>IF($B41="","",SUMIFS('Detail'!$D$6:$D$77,'Detail'!$M$6:$M$77,E$28,'Detail'!$E$6:$E$77,$B41))</f>
        <v>0.0</v>
      </c>
    </row>
    <row r="42" spans="2:5">
      <c r="B42" s="40" t="str">
        <f>IF('By category'!$C$19="","",'By category'!$C$19)</f>
        <v>Insurance</v>
      </c>
      <c r="C42" s="79">
        <f>IF($B42="","",SUMIFS('Detail'!$D$6:$D$77,'Detail'!$M$6:$M$77,C$28,'Detail'!$E$6:$E$77,$B42))</f>
        <v>-428.0</v>
      </c>
      <c r="D42" s="79">
        <f>IF($B42="","",SUMIFS('Detail'!$D$6:$D$77,'Detail'!$M$6:$M$77,D$28,'Detail'!$E$6:$E$77,$B42))</f>
        <v>0.0</v>
      </c>
      <c r="E42" s="79">
        <f>IF($B42="","",SUMIFS('Detail'!$D$6:$D$77,'Detail'!$M$6:$M$77,E$28,'Detail'!$E$6:$E$77,$B42))</f>
        <v>0.0</v>
      </c>
    </row>
    <row r="43" spans="2:5">
      <c r="B43" s="40" t="str">
        <f>IF('By category'!$C$20="","",'By category'!$C$20)</f>
        <v>Bank and payment fees</v>
      </c>
      <c r="C43" s="79">
        <f>IF($B43="","",SUMIFS('Detail'!$D$6:$D$77,'Detail'!$M$6:$M$77,C$28,'Detail'!$E$6:$E$77,$B43))</f>
        <v>-42.18</v>
      </c>
      <c r="D43" s="79">
        <f>IF($B43="","",SUMIFS('Detail'!$D$6:$D$77,'Detail'!$M$6:$M$77,D$28,'Detail'!$E$6:$E$77,$B43))</f>
        <v>-39.66</v>
      </c>
      <c r="E43" s="79">
        <f>IF($B43="","",SUMIFS('Detail'!$D$6:$D$77,'Detail'!$M$6:$M$77,E$28,'Detail'!$E$6:$E$77,$B43))</f>
        <v>-51.2</v>
      </c>
    </row>
    <row r="44" spans="2:5">
      <c r="B44" s="40" t="str">
        <f>IF('By category'!$C$21="","",'By category'!$C$21)</f>
        <v>Accountant and legal</v>
      </c>
      <c r="C44" s="79">
        <f>IF($B44="","",SUMIFS('Detail'!$D$6:$D$77,'Detail'!$M$6:$M$77,C$28,'Detail'!$E$6:$E$77,$B44))</f>
        <v>0.0</v>
      </c>
      <c r="D44" s="79">
        <f>IF($B44="","",SUMIFS('Detail'!$D$6:$D$77,'Detail'!$M$6:$M$77,D$28,'Detail'!$E$6:$E$77,$B44))</f>
        <v>-220.0</v>
      </c>
      <c r="E44" s="79">
        <f>IF($B44="","",SUMIFS('Detail'!$D$6:$D$77,'Detail'!$M$6:$M$77,E$28,'Detail'!$E$6:$E$77,$B44))</f>
        <v>0.0</v>
      </c>
    </row>
    <row r="45" spans="2:5">
      <c r="B45" s="40" t="str">
        <f>IF('By category'!$C$22="","",'By category'!$C$22)</f>
        <v>Other spending</v>
      </c>
      <c r="C45" s="79">
        <f>IF($B45="","",SUMIFS('Detail'!$D$6:$D$77,'Detail'!$M$6:$M$77,C$28,'Detail'!$E$6:$E$77,$B45))</f>
        <v>0.0</v>
      </c>
      <c r="D45" s="79">
        <f>IF($B45="","",SUMIFS('Detail'!$D$6:$D$77,'Detail'!$M$6:$M$77,D$28,'Detail'!$E$6:$E$77,$B45))</f>
        <v>0.0</v>
      </c>
      <c r="E45" s="79">
        <f>IF($B45="","",SUMIFS('Detail'!$D$6:$D$77,'Detail'!$M$6:$M$77,E$28,'Detail'!$E$6:$E$77,$B45))</f>
        <v>0.0</v>
      </c>
    </row>
    <row r="46" spans="2:5">
      <c r="B46" s="40" t="str">
        <f>IF('By category'!$C$23="","",'By category'!$C$23)</f>
        <v>Tax and government payments</v>
      </c>
      <c r="C46" s="79">
        <f>IF($B46="","",SUMIFS('Detail'!$D$6:$D$77,'Detail'!$M$6:$M$77,C$28,'Detail'!$E$6:$E$77,$B46))</f>
        <v>0.0</v>
      </c>
      <c r="D46" s="79">
        <f>IF($B46="","",SUMIFS('Detail'!$D$6:$D$77,'Detail'!$M$6:$M$77,D$28,'Detail'!$E$6:$E$77,$B46))</f>
        <v>-1860.0</v>
      </c>
      <c r="E46" s="79">
        <f>IF($B46="","",SUMIFS('Detail'!$D$6:$D$77,'Detail'!$M$6:$M$77,E$28,'Detail'!$E$6:$E$77,$B46))</f>
        <v>0.0</v>
      </c>
    </row>
    <row r="47" spans="2:5">
      <c r="B47" s="40" t="str">
        <f>IF('By category'!$C$24="","",'By category'!$C$24)</f>
        <v>Private</v>
      </c>
      <c r="C47" s="79">
        <f>IF($B47="","",SUMIFS('Detail'!$D$6:$D$77,'Detail'!$M$6:$M$77,C$28,'Detail'!$E$6:$E$77,$B47))</f>
        <v>-186.2</v>
      </c>
      <c r="D47" s="79">
        <f>IF($B47="","",SUMIFS('Detail'!$D$6:$D$77,'Detail'!$M$6:$M$77,D$28,'Detail'!$E$6:$E$77,$B47))</f>
        <v>0.0</v>
      </c>
      <c r="E47" s="79">
        <f>IF($B47="","",SUMIFS('Detail'!$D$6:$D$77,'Detail'!$M$6:$M$77,E$28,'Detail'!$E$6:$E$77,$B47))</f>
        <v>0.0</v>
      </c>
    </row>
    <row r="48" spans="2:5">
      <c r="B48" s="40" t="str">
        <f>IF('By category'!$C$25="","",'By category'!$C$25)</f>
        <v>Large purchase</v>
      </c>
      <c r="C48" s="79">
        <f>IF($B48="","",SUMIFS('Detail'!$D$6:$D$77,'Detail'!$M$6:$M$77,C$28,'Detail'!$E$6:$E$77,$B48))</f>
        <v>0.0</v>
      </c>
      <c r="D48" s="79">
        <f>IF($B48="","",SUMIFS('Detail'!$D$6:$D$77,'Detail'!$M$6:$M$77,D$28,'Detail'!$E$6:$E$77,$B48))</f>
        <v>-4280.0</v>
      </c>
      <c r="E48" s="79">
        <f>IF($B48="","",SUMIFS('Detail'!$D$6:$D$77,'Detail'!$M$6:$M$77,E$28,'Detail'!$E$6:$E$77,$B48))</f>
        <v>0.0</v>
      </c>
    </row>
    <row r="49" spans="2:5">
      <c r="B49" s="40" t="str">
        <f>IF('By category'!$C$26="","",'By category'!$C$26)</f>
        <v>Between my accounts</v>
      </c>
      <c r="C49" s="79">
        <f>IF($B49="","",SUMIFS('Detail'!$D$6:$D$77,'Detail'!$M$6:$M$77,C$28,'Detail'!$E$6:$E$77,$B49))</f>
        <v>-1500.0</v>
      </c>
      <c r="D49" s="79">
        <f>IF($B49="","",SUMIFS('Detail'!$D$6:$D$77,'Detail'!$M$6:$M$77,D$28,'Detail'!$E$6:$E$77,$B49))</f>
        <v>0.0</v>
      </c>
      <c r="E49" s="79">
        <f>IF($B49="","",SUMIFS('Detail'!$D$6:$D$77,'Detail'!$M$6:$M$77,E$28,'Detail'!$E$6:$E$77,$B49))</f>
        <v>-1000.0</v>
      </c>
    </row>
    <row r="50" spans="2:5">
      <c r="B50" s="40" t="str">
        <f>IF('By category'!$C$27="","",'By category'!$C$27)</f>
        <v>Loan money</v>
      </c>
      <c r="C50" s="79">
        <f>IF($B50="","",SUMIFS('Detail'!$D$6:$D$77,'Detail'!$M$6:$M$77,C$28,'Detail'!$E$6:$E$77,$B50))</f>
        <v>0.0</v>
      </c>
      <c r="D50" s="79">
        <f>IF($B50="","",SUMIFS('Detail'!$D$6:$D$77,'Detail'!$M$6:$M$77,D$28,'Detail'!$E$6:$E$77,$B50))</f>
        <v>0.0</v>
      </c>
      <c r="E50" s="79">
        <f>IF($B50="","",SUMIFS('Detail'!$D$6:$D$77,'Detail'!$M$6:$M$77,E$28,'Detail'!$E$6:$E$77,$B50))</f>
        <v>0.0</v>
      </c>
    </row>
    <row r="51" spans="2:5">
      <c r="B51" s="40" t="str">
        <f>IF('By category'!$C$28="","",'By category'!$C$28)</f>
        <v>Leave out (duplicate or never happened)</v>
      </c>
      <c r="C51" s="79">
        <f>IF($B51="","",SUMIFS('Detail'!$D$6:$D$77,'Detail'!$M$6:$M$77,C$28,'Detail'!$E$6:$E$77,$B51))</f>
        <v>0.0</v>
      </c>
      <c r="D51" s="79">
        <f>IF($B51="","",SUMIFS('Detail'!$D$6:$D$77,'Detail'!$M$6:$M$77,D$28,'Detail'!$E$6:$E$77,$B51))</f>
        <v>0.0</v>
      </c>
      <c r="E51" s="79">
        <f>IF($B51="","",SUMIFS('Detail'!$D$6:$D$77,'Detail'!$M$6:$M$77,E$28,'Detail'!$E$6:$E$77,$B51))</f>
        <v>0.0</v>
      </c>
    </row>
    <row r="52" spans="2:5">
      <c r="B52" s="40" t="str">
        <f>IF('By category'!$C$29="","",'By category'!$C$29)</f>
        <v/>
      </c>
      <c r="C52" s="79" t="str">
        <f>IF($B52="","",SUMIFS('Detail'!$D$6:$D$77,'Detail'!$M$6:$M$77,C$28,'Detail'!$E$6:$E$77,$B52))</f>
        <v/>
      </c>
      <c r="D52" s="79" t="str">
        <f>IF($B52="","",SUMIFS('Detail'!$D$6:$D$77,'Detail'!$M$6:$M$77,D$28,'Detail'!$E$6:$E$77,$B52))</f>
        <v/>
      </c>
      <c r="E52" s="79" t="str">
        <f>IF($B52="","",SUMIFS('Detail'!$D$6:$D$77,'Detail'!$M$6:$M$77,E$28,'Detail'!$E$6:$E$77,$B52))</f>
        <v/>
      </c>
    </row>
    <row r="53" spans="2:5">
      <c r="B53" s="40" t="str">
        <f>IF('By category'!$C$30="","",'By category'!$C$30)</f>
        <v/>
      </c>
      <c r="C53" s="79" t="str">
        <f>IF($B53="","",SUMIFS('Detail'!$D$6:$D$77,'Detail'!$M$6:$M$77,C$28,'Detail'!$E$6:$E$77,$B53))</f>
        <v/>
      </c>
      <c r="D53" s="79" t="str">
        <f>IF($B53="","",SUMIFS('Detail'!$D$6:$D$77,'Detail'!$M$6:$M$77,D$28,'Detail'!$E$6:$E$77,$B53))</f>
        <v/>
      </c>
      <c r="E53" s="79" t="str">
        <f>IF($B53="","",SUMIFS('Detail'!$D$6:$D$77,'Detail'!$M$6:$M$77,E$28,'Detail'!$E$6:$E$77,$B53))</f>
        <v/>
      </c>
    </row>
    <row r="54" spans="2:5">
      <c r="B54" s="40" t="str">
        <f>IF('By category'!$C$31="","",'By category'!$C$31)</f>
        <v/>
      </c>
      <c r="C54" s="79" t="str">
        <f>IF($B54="","",SUMIFS('Detail'!$D$6:$D$77,'Detail'!$M$6:$M$77,C$28,'Detail'!$E$6:$E$77,$B54))</f>
        <v/>
      </c>
      <c r="D54" s="79" t="str">
        <f>IF($B54="","",SUMIFS('Detail'!$D$6:$D$77,'Detail'!$M$6:$M$77,D$28,'Detail'!$E$6:$E$77,$B54))</f>
        <v/>
      </c>
      <c r="E54" s="79" t="str">
        <f>IF($B54="","",SUMIFS('Detail'!$D$6:$D$77,'Detail'!$M$6:$M$77,E$28,'Detail'!$E$6:$E$77,$B54))</f>
        <v/>
      </c>
    </row>
  </sheetData>
  <conditionalFormatting sqref="J6:J8">
    <cfRule type="cellIs" dxfId="9" priority="1" operator="greaterThan">
      <formula>0</formula>
    </cfRule>
  </conditionalFormatting>
  <pageMargins left="0.4" right="0.4" top="0.45" bottom="0.45" header="0.3" footer="0.3"/>
  <pageSetup paperSize="9" fitToHeight="0" orientation="landscape"/>
  <drawing r:id="rId1"/>
</worksheet>
</file>

<file path=xl/worksheets/sheet5.xml><?xml version="1.0" encoding="utf-8"?>
<worksheet xmlns="http://schemas.openxmlformats.org/spreadsheetml/2006/main" xmlns:r="http://schemas.openxmlformats.org/officeDocument/2006/relationships">
  <sheetPr>
    <tabColor rgb="FFC21F30"/>
    <pageSetUpPr fitToPage="1"/>
  </sheetPr>
  <dimension ref="A2:AE31"/>
  <sheetViews>
    <sheetView showGridLines="0" workbookViewId="0"/>
  </sheetViews>
  <sheetFormatPr defaultRowHeight="15"/>
  <cols>
    <col min="1" max="1" width="3.28515625" style="1" customWidth="1"/>
    <col min="2" max="2" width="66.7109375" style="1" customWidth="1"/>
    <col min="3" max="5" width="16.7109375" style="1" customWidth="1"/>
    <col min="6" max="6" width="24.7109375" style="1" customWidth="1"/>
    <col min="7" max="7" width="3.28515625" style="1" customWidth="1"/>
    <col min="8" max="31" width="9.7109375" style="1" customWidth="1"/>
  </cols>
  <sheetData>
    <row r="2" spans="2:8" s="1" customFormat="1" ht="27.75" customHeight="1">
      <c r="B2" s="36" t="s">
        <v>134</v>
      </c>
      <c r="H2" s="2">
        <f>COUNTIF('Checks'!$F$6:$F$16,"DOES NOT TIE")</f>
        <v>0.0</v>
      </c>
    </row>
    <row r="3" spans="2:8">
      <c r="B3" s="4" t="s">
        <v>135</v>
      </c>
      <c r="H3" s="2">
        <f>COUNTIF('Checks'!$F$6:$F$16,"Could not check")</f>
        <v>0.0</v>
      </c>
    </row>
    <row r="4" spans="2:8">
      <c r="B4" s="5" t="s">
        <v>2</v>
      </c>
      <c r="H4" s="2" t="str">
        <f>IF(IFERROR(MATCH(1,'Detail'!$R$6:$R$77,0),0)=0,"",INDEX('Detail'!$K$6:$K$77,IFERROR(MATCH(1,'Detail'!$R$6:$R$77,0),0)))</f>
        <v/>
      </c>
    </row>
    <row r="5" spans="2:8">
      <c r="B5" s="21" t="s">
        <v>136</v>
      </c>
      <c r="C5" s="22" t="s">
        <v>137</v>
      </c>
      <c r="D5" s="22" t="s">
        <v>138</v>
      </c>
      <c r="E5" s="22" t="s">
        <v>127</v>
      </c>
      <c r="F5" s="21" t="s">
        <v>139</v>
      </c>
      <c r="H5" s="2" t="str">
        <f>IF(IFERROR(MATCH(1,'Detail'!$R$6:$R$77,0),0)=0,"",INDEX('Detail'!$A$6:$A$77,IFERROR(MATCH(1,'Detail'!$R$6:$R$77,0),0)))</f>
        <v/>
      </c>
    </row>
    <row r="6" spans="2:8">
      <c r="B6" s="40" t="s">
        <v>140</v>
      </c>
      <c r="C6" s="75">
        <v>0</v>
      </c>
      <c r="D6" s="75">
        <f>MAX(0,0-COUNT('Detail'!$D$48:$D$77))</f>
        <v>0.0</v>
      </c>
      <c r="E6" s="75">
        <f>D6-C6</f>
        <v>0.0</v>
      </c>
      <c r="F6" s="10" t="str">
        <f>IF(D6=0,"OK","DOES NOT TIE")</f>
        <v>OK</v>
      </c>
      <c r="H6" s="2">
        <f>SUM('Detail'!$V$6:$V$77)</f>
        <v>0.0</v>
      </c>
    </row>
    <row r="7" spans="2:8">
      <c r="B7" s="40" t="s">
        <v>141</v>
      </c>
      <c r="C7" s="41">
        <f>'By category'!$G$33</f>
        <v>-5338.91</v>
      </c>
      <c r="D7" s="41">
        <f>'By category'!$G$32</f>
        <v>-5338.91</v>
      </c>
      <c r="E7" s="41">
        <f>ROUND(D7-C7,2)</f>
        <v>0.0</v>
      </c>
      <c r="F7" s="10" t="str">
        <f>IF(E7=0,"OK","DOES NOT TIE")</f>
        <v>OK</v>
      </c>
      <c r="H7" s="2">
        <f>SUM('Detail'!$W$6:$W$77)</f>
        <v>0.0</v>
      </c>
    </row>
    <row r="8" spans="2:8">
      <c r="B8" s="40" t="s">
        <v>142</v>
      </c>
      <c r="C8" s="41">
        <v>9412.6</v>
      </c>
      <c r="D8" s="40"/>
      <c r="E8" s="40"/>
      <c r="F8" s="40"/>
      <c r="H8" s="2">
        <f>SUM('Detail'!$X$6:$X$77)</f>
        <v>0.0</v>
      </c>
    </row>
    <row r="9" spans="2:8">
      <c r="B9" s="40" t="s">
        <v>143</v>
      </c>
      <c r="C9" s="41">
        <v>4073.69</v>
      </c>
      <c r="D9" s="40"/>
      <c r="E9" s="40"/>
      <c r="F9" s="40"/>
      <c r="H9" s="2">
        <f>COUNT('Detail'!$D$48:$D$77)</f>
        <v>0.0</v>
      </c>
    </row>
    <row r="10" spans="2:8">
      <c r="B10" s="40" t="s">
        <v>144</v>
      </c>
      <c r="C10" s="41">
        <f>IF(C9="","",C9)</f>
        <v>4073.69</v>
      </c>
      <c r="D10" s="41">
        <f>IF(C8="","",C8+'By category'!$G$33)</f>
        <v>4073.6900000000005</v>
      </c>
      <c r="E10" s="41">
        <f>IF(OR(C8="",C9=""),"",ROUND(D10-C10,2))</f>
        <v>0.0</v>
      </c>
      <c r="F10" s="10" t="str">
        <f>IF(OR(C8="",C9=""),"Could not check",IF(E10=0,"OK","DOES NOT TIE"))</f>
        <v>OK</v>
      </c>
      <c r="H10" s="2">
        <f>IF(C8="",IF('As read'!$E$1="",0,1),IF('As read'!$E$1="",1,IF(ABS(C8-'As read'!$E$1)&gt;0.005,1,0)))</f>
        <v>0.0</v>
      </c>
    </row>
    <row r="11" spans="2:8">
      <c r="B11" s="40" t="s">
        <v>145</v>
      </c>
      <c r="C11" s="75">
        <v>0</v>
      </c>
      <c r="D11" s="75">
        <f>SUM('Detail'!$R$6:$R$77)</f>
        <v>0.0</v>
      </c>
      <c r="E11" s="75">
        <f>D11-C11</f>
        <v>0.0</v>
      </c>
      <c r="F11" s="10" t="str">
        <f>IF(D11=0,"OK",IF(AND(COUNT('Detail'!$D$48:$D$77)&gt;0,F10="OK"),"Ties with lines you added","DOES NOT TIE"))</f>
        <v>OK</v>
      </c>
      <c r="H11" s="2">
        <f>IF(C9="",IF('As read'!$E$2="",0,1),IF('As read'!$E$2="",1,IF(ABS(C9-'As read'!$E$2)&gt;0.005,1,0)))</f>
        <v>0.0</v>
      </c>
    </row>
    <row r="12" spans="2:8">
      <c r="B12" s="44" t="s">
        <v>146</v>
      </c>
      <c r="C12" s="41" t="str">
        <f>IF(IFERROR(MATCH(1,'Detail'!$R$6:$R$77,0),0)=0,"",INDEX('Detail'!$T$6:$T$77,IFERROR(MATCH(1,'Detail'!$R$6:$R$77,0),0)))</f>
        <v/>
      </c>
      <c r="D12" s="41" t="str">
        <f>IF(IFERROR(MATCH(1,'Detail'!$R$6:$R$77,0),0)=0,"",INDEX('Detail'!$J$6:$J$77,IFERROR(MATCH(1,'Detail'!$R$6:$R$77,0),0)))</f>
        <v/>
      </c>
      <c r="E12" s="41" t="str">
        <f>IF(C12="","",ROUND(D12-C12,2))</f>
        <v/>
      </c>
      <c r="F12" s="81" t="str">
        <f>$H$5</f>
        <v/>
      </c>
      <c r="H12" s="2">
        <f>SUM('Detail'!$Y$6:$Y$77)</f>
        <v>0.0</v>
      </c>
    </row>
    <row r="13" spans="2:8">
      <c r="B13" s="40" t="s">
        <v>147</v>
      </c>
      <c r="C13" s="75">
        <v>0</v>
      </c>
      <c r="D13" s="75">
        <v>0</v>
      </c>
      <c r="E13" s="75">
        <f>D13-C13</f>
        <v>0.0</v>
      </c>
      <c r="F13" s="10" t="str">
        <f>IF(D13=0,"OK","DOES NOT TIE")</f>
        <v>OK</v>
      </c>
      <c r="H13" s="2">
        <f>SUM(H6:H12)</f>
        <v>0.0</v>
      </c>
    </row>
    <row r="14" spans="2:8">
      <c r="B14" s="40" t="s">
        <v>148</v>
      </c>
      <c r="C14" s="41">
        <f>'By category'!$G$33</f>
        <v>-5338.91</v>
      </c>
      <c r="D14" s="41">
        <f>'By month'!$K$9</f>
        <v>-5338.909999999999</v>
      </c>
      <c r="E14" s="41">
        <f>ROUND(D14-C14,2)</f>
        <v>0.0</v>
      </c>
      <c r="F14" s="10" t="str">
        <f>IF(E14=0,"OK","DOES NOT TIE")</f>
        <v>OK</v>
      </c>
      <c r="H14" s="2" t="str">
        <f>IF(H6&gt;0,H6&amp;" amounts or dates changed; ","")&amp;IF(H7&gt;0,H7&amp;" balances changed; ","")&amp;IF(H8&gt;0,H8&amp;" lines marked Leave out; ","")&amp;IF(H9&gt;0,H9&amp;" lines added; ","")&amp;IF(H10&gt;0,H10&amp;" opening balance changed; ","")&amp;IF(H11&gt;0,H11&amp;" closing balance changed; ","")&amp;IF(H12&gt;0,H12&amp;" lines with loan wording outside Loan money; ","")</f>
        <v/>
      </c>
    </row>
    <row r="15" spans="2:8">
      <c r="B15" s="40" t="s">
        <v>149</v>
      </c>
      <c r="C15" s="75">
        <v>0</v>
      </c>
      <c r="D15" s="75">
        <f>COUNTIF('Detail'!$N$6:$N$77,"none")</f>
        <v>0.0</v>
      </c>
      <c r="E15" s="75">
        <f>D15-C15</f>
        <v>0.0</v>
      </c>
      <c r="F15" s="10" t="str">
        <f>IF(D15=0,"OK","DOES NOT TIE")</f>
        <v>OK</v>
      </c>
    </row>
    <row r="16" spans="2:8">
      <c r="B16" s="40" t="s">
        <v>150</v>
      </c>
      <c r="C16" s="40"/>
      <c r="D16" s="40"/>
      <c r="E16" s="40"/>
      <c r="F16" s="10" t="s">
        <v>151</v>
      </c>
    </row>
    <row r="17" spans="2:6">
      <c r="B17" s="40" t="s">
        <v>152</v>
      </c>
      <c r="C17" s="40"/>
      <c r="D17" s="40"/>
      <c r="E17" s="40"/>
      <c r="F17" s="82" t="str">
        <f>IF($H$13=0,"",$H$14)</f>
        <v/>
      </c>
    </row>
    <row r="18" spans="2:6">
      <c r="B18" s="40" t="s">
        <v>153</v>
      </c>
      <c r="C18" s="40"/>
      <c r="D18" s="75">
        <f>COUNTIF('Detail'!$L$6:$L$77,"Possible duplicate")</f>
        <v>2.0</v>
      </c>
      <c r="E18" s="40"/>
      <c r="F18" s="40"/>
    </row>
    <row r="19" spans="2:6" s="1" customFormat="1" ht="32.25" customHeight="1">
      <c r="B19" s="7" t="s">
        <v>154</v>
      </c>
      <c r="C19" s="7"/>
      <c r="D19" s="7"/>
      <c r="E19" s="7"/>
      <c r="F19" s="7"/>
    </row>
    <row r="21" spans="2:6">
      <c r="B21" s="73" t="s">
        <v>155</v>
      </c>
    </row>
    <row r="22" spans="2:6">
      <c r="B22" s="10" t="s">
        <v>156</v>
      </c>
      <c r="C22" s="83">
        <v>57</v>
      </c>
    </row>
    <row r="23" spans="2:6">
      <c r="B23" s="84" t="s">
        <v>157</v>
      </c>
      <c r="C23" s="85">
        <v>42</v>
      </c>
    </row>
    <row r="24" spans="2:6">
      <c r="B24" s="84" t="s">
        <v>158</v>
      </c>
      <c r="C24" s="85">
        <v>2</v>
      </c>
    </row>
    <row r="25" spans="2:6">
      <c r="B25" s="84" t="s">
        <v>159</v>
      </c>
      <c r="C25" s="85">
        <v>5</v>
      </c>
    </row>
    <row r="26" spans="2:6">
      <c r="B26" s="84" t="s">
        <v>160</v>
      </c>
      <c r="C26" s="85">
        <v>2</v>
      </c>
    </row>
    <row r="27" spans="2:6">
      <c r="B27" s="84" t="s">
        <v>161</v>
      </c>
      <c r="C27" s="85">
        <v>6</v>
      </c>
    </row>
    <row r="28" spans="2:6">
      <c r="B28" s="84" t="s">
        <v>162</v>
      </c>
      <c r="C28" s="85">
        <v>0</v>
      </c>
    </row>
    <row r="30" spans="2:6">
      <c r="B30" s="7" t="s">
        <v>163</v>
      </c>
      <c r="C30" s="7"/>
      <c r="D30" s="7"/>
      <c r="E30" s="7"/>
      <c r="F30" s="7"/>
    </row>
    <row r="31" spans="2:6">
      <c r="B31" s="7"/>
      <c r="C31" s="7"/>
      <c r="D31" s="7"/>
      <c r="E31" s="7"/>
      <c r="F31" s="7"/>
    </row>
  </sheetData>
  <sheetProtection sheet="1" objects="1" scenarios="1" formatColumns="0" formatRows="0"/>
  <mergeCells count="2">
    <mergeCell ref="B19:F19"/>
    <mergeCell ref="B30:F31"/>
  </mergeCells>
  <conditionalFormatting sqref="F6:F16">
    <cfRule type="cellIs" dxfId="10" priority="1" operator="equal">
      <formula>"DOES NOT TIE"</formula>
    </cfRule>
    <cfRule type="cellIs" dxfId="11" priority="2" operator="equal">
      <formula>"Could not check"</formula>
    </cfRule>
  </conditionalFormatting>
  <pageMargins left="0.4" right="0.4" top="0.45" bottom="0.45" header="0.3" footer="0.3"/>
  <pageSetup paperSize="9" fitToHeight="0" orientation="landscape"/>
</worksheet>
</file>

<file path=xl/worksheets/sheet6.xml><?xml version="1.0" encoding="utf-8"?>
<worksheet xmlns="http://schemas.openxmlformats.org/spreadsheetml/2006/main" xmlns:r="http://schemas.openxmlformats.org/officeDocument/2006/relationships">
  <sheetPr>
    <tabColor rgb="FFCFC7B2"/>
    <pageSetUpPr fitToPage="1"/>
  </sheetPr>
  <dimension ref="A2:AE19"/>
  <sheetViews>
    <sheetView showGridLines="0" workbookViewId="0"/>
  </sheetViews>
  <sheetFormatPr defaultRowHeight="15"/>
  <cols>
    <col min="1" max="1" width="3.28515625" style="1" customWidth="1"/>
    <col min="2" max="2" width="110.7109375" style="1" customWidth="1"/>
    <col min="3" max="31" width="9.7109375" style="1" customWidth="1"/>
  </cols>
  <sheetData>
    <row r="2" spans="2:2" s="1" customFormat="1" ht="27.75" customHeight="1">
      <c r="B2" s="36" t="s">
        <v>204</v>
      </c>
    </row>
    <row r="4" spans="2:2" s="1" customFormat="1" ht="23.25" customHeight="1">
      <c r="B4" s="25" t="s">
        <v>205</v>
      </c>
    </row>
    <row r="5" spans="2:2" s="1" customFormat="1" ht="38.25" customHeight="1">
      <c r="B5" s="25" t="s">
        <v>206</v>
      </c>
    </row>
    <row r="6" spans="2:2" s="1" customFormat="1" ht="23.25" customHeight="1">
      <c r="B6" s="25" t="s">
        <v>207</v>
      </c>
    </row>
    <row r="7" spans="2:2" s="1" customFormat="1" ht="23.25" customHeight="1">
      <c r="B7" s="25" t="s">
        <v>208</v>
      </c>
    </row>
    <row r="8" spans="2:2" s="1" customFormat="1" ht="38.25" customHeight="1">
      <c r="B8" s="25" t="s">
        <v>209</v>
      </c>
    </row>
    <row r="9" spans="2:2" s="1" customFormat="1" ht="38.25" customHeight="1">
      <c r="B9" s="25" t="s">
        <v>210</v>
      </c>
    </row>
    <row r="10" spans="2:2" s="1" customFormat="1" ht="38.25" customHeight="1">
      <c r="B10" s="25" t="s">
        <v>211</v>
      </c>
    </row>
    <row r="11" spans="2:2" s="1" customFormat="1" ht="38.25" customHeight="1">
      <c r="B11" s="25" t="s">
        <v>212</v>
      </c>
    </row>
    <row r="12" spans="2:2" s="1" customFormat="1" ht="38.25" customHeight="1">
      <c r="B12" s="25" t="s">
        <v>213</v>
      </c>
    </row>
    <row r="13" spans="2:2" s="1" customFormat="1" ht="38.25" customHeight="1">
      <c r="B13" s="25" t="s">
        <v>214</v>
      </c>
    </row>
    <row r="14" spans="2:2" s="1" customFormat="1" ht="23.25" customHeight="1">
      <c r="B14" s="25" t="s">
        <v>215</v>
      </c>
    </row>
    <row r="15" spans="2:2" s="1" customFormat="1" ht="38.25" customHeight="1">
      <c r="B15" s="25" t="s">
        <v>177</v>
      </c>
    </row>
    <row r="16" spans="2:2" s="1" customFormat="1" ht="38.25" customHeight="1">
      <c r="B16" s="25" t="s">
        <v>216</v>
      </c>
    </row>
    <row r="17" spans="2:2" s="1" customFormat="1" ht="23.25" customHeight="1">
      <c r="B17" s="25" t="s">
        <v>217</v>
      </c>
    </row>
    <row r="19" spans="2:2">
      <c r="B19" s="7" t="s">
        <v>163</v>
      </c>
    </row>
  </sheetData>
  <pageMargins left="0.4" right="0.4" top="0.45" bottom="0.45" header="0.3" footer="0.3"/>
  <pageSetup paperSize="9" fitToHeight="0" orientation="landscape"/>
</worksheet>
</file>

<file path=xl/worksheets/sheet7.xml><?xml version="1.0" encoding="utf-8"?>
<worksheet xmlns="http://schemas.openxmlformats.org/spreadsheetml/2006/main" xmlns:r="http://schemas.openxmlformats.org/officeDocument/2006/relationships">
  <sheetPr>
    <tabColor rgb="FFCFC7B2"/>
    <pageSetUpPr fitToPage="1"/>
  </sheetPr>
  <dimension ref="A1:AE47"/>
  <sheetViews>
    <sheetView showGridLines="0" workbookViewId="0"/>
  </sheetViews>
  <sheetFormatPr defaultRowHeight="15"/>
  <cols>
    <col min="1" max="31" width="9.7109375" style="1" customWidth="1"/>
  </cols>
  <sheetData>
    <row r="1" spans="1:5">
      <c r="E1" s="1">
        <v>9412.6</v>
      </c>
    </row>
    <row r="2" spans="1:5">
      <c r="E2" s="1">
        <v>4073.69</v>
      </c>
    </row>
    <row r="6" spans="1:5">
      <c r="A6" s="1">
        <v>-2150</v>
      </c>
      <c r="B6" s="86">
        <v>46235</v>
      </c>
      <c r="C6" s="1">
        <v>7262.6</v>
      </c>
    </row>
    <row r="7" spans="1:5">
      <c r="A7" s="1">
        <v>3280</v>
      </c>
      <c r="B7" s="86">
        <v>46237</v>
      </c>
      <c r="C7" s="1">
        <v>10542.6</v>
      </c>
    </row>
    <row r="8" spans="1:5">
      <c r="A8" s="1">
        <v>-612.4</v>
      </c>
      <c r="B8" s="86">
        <v>46238</v>
      </c>
      <c r="C8" s="1">
        <v>9930.200000000001</v>
      </c>
    </row>
    <row r="9" spans="1:5">
      <c r="A9" s="1">
        <v>-318.75</v>
      </c>
      <c r="B9" s="86">
        <v>46239</v>
      </c>
      <c r="C9" s="1">
        <v>9611.450000000001</v>
      </c>
    </row>
    <row r="10" spans="1:5">
      <c r="A10" s="1">
        <v>-1500</v>
      </c>
      <c r="B10" s="86">
        <v>46241</v>
      </c>
      <c r="C10" s="1">
        <v>8111.45</v>
      </c>
    </row>
    <row r="11" spans="1:5">
      <c r="A11" s="1">
        <v>-300</v>
      </c>
      <c r="B11" s="86">
        <v>46242</v>
      </c>
      <c r="C11" s="1">
        <v>7811.45</v>
      </c>
    </row>
    <row r="12" spans="1:5">
      <c r="A12" s="1">
        <v>-186.2</v>
      </c>
      <c r="B12" s="86">
        <v>46245</v>
      </c>
      <c r="C12" s="1">
        <v>7625.25</v>
      </c>
    </row>
    <row r="13" spans="1:5">
      <c r="A13" s="1">
        <v>-42.18</v>
      </c>
      <c r="B13" s="86">
        <v>46246</v>
      </c>
      <c r="C13" s="1">
        <v>7583.07</v>
      </c>
    </row>
    <row r="14" spans="1:5">
      <c r="A14" s="1">
        <v>-65</v>
      </c>
      <c r="B14" s="86">
        <v>46248</v>
      </c>
      <c r="C14" s="1">
        <v>7518.07</v>
      </c>
    </row>
    <row r="15" spans="1:5">
      <c r="A15" s="1">
        <v>1800</v>
      </c>
      <c r="B15" s="86">
        <v>46249</v>
      </c>
      <c r="C15" s="1">
        <v>9318.07</v>
      </c>
    </row>
    <row r="16" spans="1:5">
      <c r="A16" s="1">
        <v>1460</v>
      </c>
      <c r="B16" s="86">
        <v>46253</v>
      </c>
      <c r="C16" s="1">
        <v>10778.07</v>
      </c>
    </row>
    <row r="17" spans="1:3">
      <c r="A17" s="1">
        <v>-94.3</v>
      </c>
      <c r="B17" s="86">
        <v>46255</v>
      </c>
      <c r="C17" s="1">
        <v>10683.77</v>
      </c>
    </row>
    <row r="18" spans="1:3">
      <c r="A18" s="1">
        <v>-428</v>
      </c>
      <c r="B18" s="86">
        <v>46259</v>
      </c>
      <c r="C18" s="1">
        <v>10255.77</v>
      </c>
    </row>
    <row r="19" spans="1:3">
      <c r="A19" s="1">
        <v>-39</v>
      </c>
      <c r="B19" s="86">
        <v>46262</v>
      </c>
      <c r="C19" s="1">
        <v>10216.77</v>
      </c>
    </row>
    <row r="20" spans="1:3">
      <c r="A20" s="1">
        <v>-2150</v>
      </c>
      <c r="B20" s="86">
        <v>46266</v>
      </c>
      <c r="C20" s="1">
        <v>8066.77</v>
      </c>
    </row>
    <row r="21" spans="1:3">
      <c r="A21" s="1">
        <v>-780.1</v>
      </c>
      <c r="B21" s="86">
        <v>46267</v>
      </c>
      <c r="C21" s="1">
        <v>7286.67</v>
      </c>
    </row>
    <row r="22" spans="1:3">
      <c r="A22" s="1">
        <v>120</v>
      </c>
      <c r="B22" s="86">
        <v>46268</v>
      </c>
      <c r="C22" s="1">
        <v>7406.67</v>
      </c>
    </row>
    <row r="23" spans="1:3">
      <c r="A23" s="1">
        <v>5240</v>
      </c>
      <c r="B23" s="86">
        <v>46269</v>
      </c>
      <c r="C23" s="1">
        <v>12646.67</v>
      </c>
    </row>
    <row r="24" spans="1:3">
      <c r="A24" s="1">
        <v>-4280</v>
      </c>
      <c r="B24" s="86">
        <v>46270</v>
      </c>
      <c r="C24" s="1">
        <v>8366.67</v>
      </c>
    </row>
    <row r="25" spans="1:3">
      <c r="A25" s="1">
        <v>-301.2</v>
      </c>
      <c r="B25" s="86">
        <v>46273</v>
      </c>
      <c r="C25" s="1">
        <v>8065.47</v>
      </c>
    </row>
    <row r="26" spans="1:3">
      <c r="A26" s="1">
        <v>-950</v>
      </c>
      <c r="B26" s="86">
        <v>46275</v>
      </c>
      <c r="C26" s="1">
        <v>7115.47</v>
      </c>
    </row>
    <row r="27" spans="1:3">
      <c r="A27" s="1">
        <v>-39.66</v>
      </c>
      <c r="B27" s="86">
        <v>46277</v>
      </c>
      <c r="C27" s="1">
        <v>7075.81</v>
      </c>
    </row>
    <row r="28" spans="1:3">
      <c r="A28" s="1">
        <v>-220</v>
      </c>
      <c r="B28" s="86">
        <v>46277</v>
      </c>
      <c r="C28" s="1">
        <v>6855.81</v>
      </c>
    </row>
    <row r="29" spans="1:3">
      <c r="A29" s="1">
        <v>-65</v>
      </c>
      <c r="B29" s="86">
        <v>46279</v>
      </c>
      <c r="C29" s="1">
        <v>6790.81</v>
      </c>
    </row>
    <row r="30" spans="1:3">
      <c r="A30" s="1">
        <v>-36.5</v>
      </c>
      <c r="B30" s="86">
        <v>46283</v>
      </c>
      <c r="C30" s="1">
        <v>6754.31</v>
      </c>
    </row>
    <row r="31" spans="1:3">
      <c r="A31" s="1">
        <v>-36.5</v>
      </c>
      <c r="B31" s="86">
        <v>46283</v>
      </c>
      <c r="C31" s="1">
        <v>6717.81</v>
      </c>
    </row>
    <row r="32" spans="1:3">
      <c r="A32" s="1">
        <v>-1860</v>
      </c>
      <c r="B32" s="86">
        <v>46287</v>
      </c>
      <c r="C32" s="1">
        <v>4857.81</v>
      </c>
    </row>
    <row r="33" spans="1:3">
      <c r="A33" s="1">
        <v>64</v>
      </c>
      <c r="B33" s="86">
        <v>46291</v>
      </c>
      <c r="C33" s="1">
        <v>4921.81</v>
      </c>
    </row>
    <row r="34" spans="1:3">
      <c r="A34" s="1">
        <v>-39</v>
      </c>
      <c r="B34" s="86">
        <v>46293</v>
      </c>
      <c r="C34" s="1">
        <v>4882.81</v>
      </c>
    </row>
    <row r="35" spans="1:3">
      <c r="A35" s="1">
        <v>-2150</v>
      </c>
      <c r="B35" s="86">
        <v>46296</v>
      </c>
      <c r="C35" s="1">
        <v>2732.81</v>
      </c>
    </row>
    <row r="36" spans="1:3">
      <c r="A36" s="1">
        <v>2975</v>
      </c>
      <c r="B36" s="86">
        <v>46297</v>
      </c>
      <c r="C36" s="1">
        <v>5707.81</v>
      </c>
    </row>
    <row r="37" spans="1:3">
      <c r="A37" s="1">
        <v>-48.6</v>
      </c>
      <c r="B37" s="86">
        <v>46301</v>
      </c>
      <c r="C37" s="1">
        <v>5659.21</v>
      </c>
    </row>
    <row r="38" spans="1:3">
      <c r="A38" s="1">
        <v>-295.4</v>
      </c>
      <c r="B38" s="86">
        <v>46302</v>
      </c>
      <c r="C38" s="1">
        <v>5363.81</v>
      </c>
    </row>
    <row r="39" spans="1:3">
      <c r="A39" s="1">
        <v>-1000</v>
      </c>
      <c r="B39" s="86">
        <v>46304</v>
      </c>
      <c r="C39" s="1">
        <v>4363.81</v>
      </c>
    </row>
    <row r="40" spans="1:3">
      <c r="A40" s="1">
        <v>-51.2</v>
      </c>
      <c r="B40" s="86">
        <v>46307</v>
      </c>
      <c r="C40" s="1">
        <v>4312.61</v>
      </c>
    </row>
    <row r="41" spans="1:3">
      <c r="A41" s="1">
        <v>-65</v>
      </c>
      <c r="B41" s="86">
        <v>46309</v>
      </c>
      <c r="C41" s="1">
        <v>4247.61</v>
      </c>
    </row>
    <row r="42" spans="1:3">
      <c r="A42" s="1">
        <v>980</v>
      </c>
      <c r="B42" s="86">
        <v>46310</v>
      </c>
      <c r="C42" s="1">
        <v>5227.61</v>
      </c>
    </row>
    <row r="43" spans="1:3">
      <c r="A43" s="1">
        <v>-620</v>
      </c>
      <c r="B43" s="86">
        <v>46315</v>
      </c>
      <c r="C43" s="1">
        <v>4607.61</v>
      </c>
    </row>
    <row r="44" spans="1:3">
      <c r="A44" s="1">
        <v>-88.09999999999999</v>
      </c>
      <c r="B44" s="86">
        <v>46319</v>
      </c>
      <c r="C44" s="1">
        <v>4519.51</v>
      </c>
    </row>
    <row r="45" spans="1:3">
      <c r="A45" s="1">
        <v>-410</v>
      </c>
      <c r="B45" s="86">
        <v>46322</v>
      </c>
      <c r="C45" s="1">
        <v>4109.51</v>
      </c>
    </row>
    <row r="46" spans="1:3">
      <c r="A46" s="1">
        <v>-39</v>
      </c>
      <c r="B46" s="86">
        <v>46323</v>
      </c>
      <c r="C46" s="1">
        <v>4070.51</v>
      </c>
    </row>
    <row r="47" spans="1:3">
      <c r="A47" s="1">
        <v>3.18</v>
      </c>
      <c r="B47" s="86">
        <v>46325</v>
      </c>
      <c r="C47" s="1">
        <v>4073.69</v>
      </c>
    </row>
  </sheetData>
  <sheetProtection sheet="1" objects="1" scenarios="1"/>
  <pageMargins left="0.4" right="0.4" top="0.45" bottom="0.4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28</vt:i4>
      </vt:variant>
    </vt:vector>
  </HeadingPairs>
  <TitlesOfParts>
    <vt:vector size="35" baseType="lpstr">
      <vt:lpstr>Your decisions</vt:lpstr>
      <vt:lpstr>Detail</vt:lpstr>
      <vt:lpstr>By category</vt:lpstr>
      <vt:lpstr>By month</vt:lpstr>
      <vt:lpstr>Checks</vt:lpstr>
      <vt:lpstr>How to use</vt:lpstr>
      <vt:lpstr>As read</vt:lpstr>
      <vt:lpstr>ss_all_categories</vt:lpstr>
      <vt:lpstr>ss_all_lines</vt:lpstr>
      <vt:lpstr>ss_answer</vt:lpstr>
      <vt:lpstr>ss_asset</vt:lpstr>
      <vt:lpstr>ss_balance_diff</vt:lpstr>
      <vt:lpstr>ss_cannot</vt:lpstr>
      <vt:lpstr>ss_edit_text</vt:lpstr>
      <vt:lpstr>ss_edits</vt:lpstr>
      <vt:lpstr>ss_fail</vt:lpstr>
      <vt:lpstr>ss_first_break</vt:lpstr>
      <vt:lpstr>ss_first_line</vt:lpstr>
      <vt:lpstr>ss_guess</vt:lpstr>
      <vt:lpstr>ss_guess_n</vt:lpstr>
      <vt:lpstr>ss_income</vt:lpstr>
      <vt:lpstr>ss_income_guess</vt:lpstr>
      <vt:lpstr>ss_income_you</vt:lpstr>
      <vt:lpstr>ss_leftout</vt:lpstr>
      <vt:lpstr>ss_loan</vt:lpstr>
      <vt:lpstr>ss_private</vt:lpstr>
      <vt:lpstr>ss_refunds</vt:lpstr>
      <vt:lpstr>ss_second</vt:lpstr>
      <vt:lpstr>ss_spending</vt:lpstr>
      <vt:lpstr>ss_spending_guess</vt:lpstr>
      <vt:lpstr>ss_spending_you</vt:lpstr>
      <vt:lpstr>ss_tax</vt:lpstr>
      <vt:lpstr>ss_transfer</vt:lpstr>
      <vt:lpstr>ss_undecided</vt:lpstr>
      <vt:lpstr>ss_undecided_n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Statement Sorter</dc:title>
  <dc:creator/>
  <dc:description>Fictional sample</dc:description>
  <cp:lastModifiedBy/>
  <dcterms:created xsi:type="dcterms:W3CDTF">2026-11-02T00:35:03Z</dcterms:created>
  <dcterms:modified xsi:type="dcterms:W3CDTF">2026-11-02T00:35:03Z</dcterms:modified>
</cp:coreProperties>
</file>