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要你决定" sheetId="1" r:id="rId1"/>
    <sheet name="明细" sheetId="2" r:id="rId2"/>
    <sheet name="分类汇总" sheetId="3" r:id="rId3"/>
    <sheet name="月度汇总" sheetId="4" r:id="rId4"/>
    <sheet name="核对" sheetId="5" r:id="rId5"/>
    <sheet name="怎么用" sheetId="6" r:id="rId6"/>
    <sheet name="读到的原样" sheetId="7" state="hidden" r:id="rId7"/>
  </sheets>
  <definedNames>
    <definedName name="_xlnm._FilterDatabase" localSheetId="1" hidden="1">明细!$A$5:$L$72</definedName>
    <definedName name="ss_all_categories">'分类汇总'!$G$32</definedName>
    <definedName name="ss_all_lines">'分类汇总'!$G$33</definedName>
    <definedName name="ss_answer">'要你决定'!$B$6</definedName>
    <definedName name="ss_asset">'要你决定'!$E$17</definedName>
    <definedName name="ss_balance_diff">'核对'!$E$10</definedName>
    <definedName name="ss_cannot">'核对'!$H$3</definedName>
    <definedName name="ss_edit_text">'核对'!$H$14</definedName>
    <definedName name="ss_edits">'核对'!$H$13</definedName>
    <definedName name="ss_fail">'核对'!$H$2</definedName>
    <definedName name="ss_first_break">'核对'!$H$4</definedName>
    <definedName name="ss_first_line">'核对'!$H$5</definedName>
    <definedName name="ss_guess">'要你决定'!$E$10</definedName>
    <definedName name="ss_guess_n">'要你决定'!$K$1</definedName>
    <definedName name="ss_income">'要你决定'!$K$2</definedName>
    <definedName name="ss_income_guess">'要你决定'!$E$12</definedName>
    <definedName name="ss_income_you">'要你决定'!$E$11</definedName>
    <definedName name="ss_leftout">'要你决定'!$E$21</definedName>
    <definedName name="ss_loan">'要你决定'!$E$19</definedName>
    <definedName name="ss_private">'要你决定'!$E$16</definedName>
    <definedName name="ss_refunds">'要你决定'!$E$20</definedName>
    <definedName name="ss_second">'要你决定'!$B$7</definedName>
    <definedName name="ss_spending">'要你决定'!$K$3</definedName>
    <definedName name="ss_spending_guess">'要你决定'!$E$14</definedName>
    <definedName name="ss_spending_you">'要你决定'!$E$13</definedName>
    <definedName name="ss_tax">'要你决定'!$E$15</definedName>
    <definedName name="ss_transfer">'要你决定'!$E$18</definedName>
    <definedName name="ss_undecided">'要你决定'!$E$9</definedName>
    <definedName name="ss_undecided_n">'分类汇总'!$D$38</definedName>
  </definedNames>
  <calcPr calcId="124519" fullCalcOnLoad="1"/>
</workbook>
</file>

<file path=xl/sharedStrings.xml><?xml version="1.0" encoding="utf-8"?>
<sst xmlns="http://schemas.openxmlformats.org/spreadsheetml/2006/main" count="590" uniqueCount="208">
  <si>
    <t>明细</t>
  </si>
  <si>
    <t>收入是正数，支出是负数。在「分类」列下拉选择，其他表都会跟着变。</t>
  </si>
  <si>
    <t>虚构示例。商家、银行、所有名字和金额都是编的。</t>
  </si>
  <si>
    <t>行号</t>
  </si>
  <si>
    <t>日期</t>
  </si>
  <si>
    <t>流水原文</t>
  </si>
  <si>
    <t>金额</t>
  </si>
  <si>
    <t>分类</t>
  </si>
  <si>
    <t>我核对过（填 x）</t>
  </si>
  <si>
    <t>状态</t>
  </si>
  <si>
    <t>原因</t>
  </si>
  <si>
    <t>我的建议</t>
  </si>
  <si>
    <t>流水上的余额</t>
  </si>
  <si>
    <t>原文行号</t>
  </si>
  <si>
    <t>可能重复</t>
  </si>
  <si>
    <t>month</t>
  </si>
  <si>
    <t>group</t>
  </si>
  <si>
    <t>first</t>
  </si>
  <si>
    <t>base</t>
  </si>
  <si>
    <t>last balance</t>
  </si>
  <si>
    <t>break</t>
  </si>
  <si>
    <t>neutral</t>
  </si>
  <si>
    <t>expected</t>
  </si>
  <si>
    <t>loan</t>
  </si>
  <si>
    <t>amount changed</t>
  </si>
  <si>
    <t>balance changed</t>
  </si>
  <si>
    <t>left out here</t>
  </si>
  <si>
    <t>loan booked</t>
  </si>
  <si>
    <t>房租 禾田创业园B座</t>
  </si>
  <si>
    <t>房租</t>
  </si>
  <si>
    <t>你定的规则：“禾田创业园”</t>
  </si>
  <si>
    <t/>
  </si>
  <si>
    <t>你说的</t>
  </si>
  <si>
    <t>发票款 春水茶馆</t>
  </si>
  <si>
    <t>销售和服务收入</t>
  </si>
  <si>
    <t>你定的规则：“春水茶馆”</t>
  </si>
  <si>
    <t>材料款 南浔丝线批发</t>
  </si>
  <si>
    <t>进货和材料</t>
  </si>
  <si>
    <t>你定的规则：“南浔丝线”</t>
  </si>
  <si>
    <t>电费 8月</t>
  </si>
  <si>
    <t>待你决定</t>
  </si>
  <si>
    <t>写着“电费”。是生意上的，还是家里的？告诉我一次，就可以写成规则。</t>
  </si>
  <si>
    <t>水电燃气</t>
  </si>
  <si>
    <t>转入本人储蓄账户6621</t>
  </si>
  <si>
    <t>自己账户之间转账</t>
  </si>
  <si>
    <t>转到你自己的账户“储蓄账户6621”</t>
  </si>
  <si>
    <t>ATM取现 文昌路</t>
  </si>
  <si>
    <t>取现。我不知道这笔现金买了什么。</t>
  </si>
  <si>
    <t>私人开支</t>
  </si>
  <si>
    <t>快捷支付 邻里超市</t>
  </si>
  <si>
    <t>你定的规则：“邻里超市”</t>
  </si>
  <si>
    <t>账户管理费</t>
  </si>
  <si>
    <t>银行和平台手续费</t>
  </si>
  <si>
    <t>这行写着“账户管理费”</t>
  </si>
  <si>
    <t>我们的猜测，没核对</t>
  </si>
  <si>
    <t>话费 工作手机</t>
  </si>
  <si>
    <t>通讯和网络</t>
  </si>
  <si>
    <t>你定的规则：“工作手机”</t>
  </si>
  <si>
    <t>收款 林女士</t>
  </si>
  <si>
    <t>进来一笔钱，这行没写为什么。是销售、借款、你自己的钱，还是别的？</t>
  </si>
  <si>
    <t>发票款 云岫民宿</t>
  </si>
  <si>
    <t>你定的规则：“云岫民宿”</t>
  </si>
  <si>
    <t>财产保险 工作室</t>
  </si>
  <si>
    <t>保险</t>
  </si>
  <si>
    <t>你定的规则：“财产保险 工作室”</t>
  </si>
  <si>
    <t>设计软件 年度订阅</t>
  </si>
  <si>
    <t>软件和订阅</t>
  </si>
  <si>
    <t>你定的规则：“设计软件”</t>
  </si>
  <si>
    <t>退款 南浔丝线批发</t>
  </si>
  <si>
    <t>发票款 拾光书店</t>
  </si>
  <si>
    <t>你定的规则：“拾光书店”</t>
  </si>
  <si>
    <t>激光切割机 设备款</t>
  </si>
  <si>
    <t>大额购置</t>
  </si>
  <si>
    <t>你定的规则：“激光切割机”</t>
  </si>
  <si>
    <t>电费 9月</t>
  </si>
  <si>
    <t>转账 张先生</t>
  </si>
  <si>
    <t>是转账，但我不知道对方是谁。是你自己的账户，还是付给别人？</t>
  </si>
  <si>
    <t>代账费 小禾财务</t>
  </si>
  <si>
    <t>会计和法律</t>
  </si>
  <si>
    <t>这行写着“代账”</t>
  </si>
  <si>
    <t>快递费 同城包裹</t>
  </si>
  <si>
    <t>办公用品</t>
  </si>
  <si>
    <t>这行写着“快递费”</t>
  </si>
  <si>
    <t>和第 23 行日期、文字、金额都一样，而且余额两次都动了，银行确实扣了两次。是该扣的，还是要去要回来？</t>
  </si>
  <si>
    <t>增值税 9月</t>
  </si>
  <si>
    <t>税费和政府缴费</t>
  </si>
  <si>
    <t>你定的规则：“增值税”</t>
  </si>
  <si>
    <t>退款 枫桥布艺</t>
  </si>
  <si>
    <t>看起来是退款，但原来那笔消费不在这份流水里。那笔消费属于什么分类？</t>
  </si>
  <si>
    <t>药房 平安巷</t>
  </si>
  <si>
    <t>写着“药房”，常常是私人开支。是生意上的还是私人的？</t>
  </si>
  <si>
    <t>电费 10月</t>
  </si>
  <si>
    <t>贷款还款 青浦小贷</t>
  </si>
  <si>
    <t>写着“贷款”。还款里常常一部分是本金、一部分是利息，所以你说之前不算支出。放进借贷款项，还是要拆开？</t>
  </si>
  <si>
    <t>借贷款项</t>
  </si>
  <si>
    <t>秋季手作市集摊位</t>
  </si>
  <si>
    <t>这行没写钱花在哪里。</t>
  </si>
  <si>
    <t>结息</t>
  </si>
  <si>
    <t>利息收入</t>
  </si>
  <si>
    <t>这行写着“结息”</t>
  </si>
  <si>
    <t>分类汇总</t>
  </si>
  <si>
    <t>退款记在它退回的那个分类的「收入」列，并减少这个分类的净额。</t>
  </si>
  <si>
    <t>大类</t>
  </si>
  <si>
    <t>行数</t>
  </si>
  <si>
    <t>收入</t>
  </si>
  <si>
    <t>支出</t>
  </si>
  <si>
    <t>净额</t>
  </si>
  <si>
    <t>未决定</t>
  </si>
  <si>
    <t>其他收入</t>
  </si>
  <si>
    <t>工资和外包</t>
  </si>
  <si>
    <t>广告推广</t>
  </si>
  <si>
    <t>交通差旅</t>
  </si>
  <si>
    <t>其他支出</t>
  </si>
  <si>
    <t>不计入</t>
  </si>
  <si>
    <t>不计入（重复或没成交）</t>
  </si>
  <si>
    <t>所有分类</t>
  </si>
  <si>
    <t>流水所有行</t>
  </si>
  <si>
    <t>差额</t>
  </si>
  <si>
    <t>按大类合计</t>
  </si>
  <si>
    <t>月度汇总</t>
  </si>
  <si>
    <t>月份</t>
  </si>
  <si>
    <t>净变动</t>
  </si>
  <si>
    <t>合计</t>
  </si>
  <si>
    <t>每个分类每个月</t>
  </si>
  <si>
    <t>和流水核对</t>
  </si>
  <si>
    <t>对不上的项目会一直标红，并在第一张表顶部警告。不会为了对上而调整任何数字。 对得上只说明数字加起来相符，不说明分类是对的。</t>
  </si>
  <si>
    <t>核对项</t>
  </si>
  <si>
    <t>流水</t>
  </si>
  <si>
    <t>这份工作簿</t>
  </si>
  <si>
    <t>结果</t>
  </si>
  <si>
    <t>读不出来的行（应为 0）</t>
  </si>
  <si>
    <t>所有分类相加等于流水所有行</t>
  </si>
  <si>
    <t>期初余额</t>
  </si>
  <si>
    <t>期末余额</t>
  </si>
  <si>
    <t>期初余额加所有变动等于期末余额</t>
  </si>
  <si>
    <t>余额接不上的地方（应为 0）</t>
  </si>
  <si>
    <t>余额第一次接不上的地方：应为、流水显示、差额</t>
  </si>
  <si>
    <t>超出流水写明期间的行（应为 0）</t>
  </si>
  <si>
    <t>所有月份相加等于流水所有行</t>
  </si>
  <si>
    <t>分类不在列表里的行（应为 0）</t>
  </si>
  <si>
    <t>能证明流水是完整的</t>
  </si>
  <si>
    <t>对得上</t>
  </si>
  <si>
    <t>读入之后在表上改过的</t>
  </si>
  <si>
    <t>标出的可能重复（请你看一下）</t>
  </si>
  <si>
    <t>只有流水印出的期初、期末余额对得上，或者钱包自己写的记录数对得上，才能证明没有被截掉。</t>
  </si>
  <si>
    <t>原文每一行的去向</t>
  </si>
  <si>
    <t>原文总行数</t>
  </si>
  <si>
    <t>读成交易</t>
  </si>
  <si>
    <t>并入上一行</t>
  </si>
  <si>
    <t>标题、合计和余额行</t>
  </si>
  <si>
    <t>页脚和你说要忽略的行</t>
  </si>
  <si>
    <t>空行</t>
  </si>
  <si>
    <t>读不出来</t>
  </si>
  <si>
    <t>公式由这个技能自带的计算器按文件里的公式文本算过。这个文件没有在真正的 Excel 里打开过。</t>
  </si>
  <si>
    <t>流水分好类</t>
  </si>
  <si>
    <t>青禾手作工作室   2026-08-01 到 2026-10-30</t>
  </si>
  <si>
    <t>“我们的猜测，没核对”是说，只凭这一行的一个词猜了分类，没人确认过。请看一遍这些行。“对得上”只说明数字加起来相符，不说明分类是对的。</t>
  </si>
  <si>
    <t>还没决定</t>
  </si>
  <si>
    <t>收入（你定的）</t>
  </si>
  <si>
    <t>收入（还是我们的猜测）</t>
  </si>
  <si>
    <t>支出（你定的）</t>
  </si>
  <si>
    <t>支出（还是我们的猜测）</t>
  </si>
  <si>
    <t>已冲减支出的退款</t>
  </si>
  <si>
    <t>不计入任何合计</t>
  </si>
  <si>
    <t>自己账户之间转账、借贷款项、私人开支、大额购置、税费和政府缴费，不算收入，也不算支出。</t>
  </si>
  <si>
    <t>这里只按日常记账用词分类，不判断什么能抵税，也不判断该交多少税。这些由你的会计决定。</t>
  </si>
  <si>
    <t>如果让助手重新生成这份工作簿，请让它把这个文件传回去，否则你在下拉里的选择会丢。你的选择优先于规则。</t>
  </si>
  <si>
    <t>金额和余额没设密码地锁上了，免得误改。这不防篡改：第一张表会拿它们和隐藏的原样对比，并写明改了什么。</t>
  </si>
  <si>
    <t>等你决定的行</t>
  </si>
  <si>
    <t>到「明细」表改分类那一列。这张清单、所有合计和图表都会跟着变。</t>
  </si>
  <si>
    <t>我想问你</t>
  </si>
  <si>
    <t>现在的分类</t>
  </si>
  <si>
    <t>没有建议</t>
  </si>
  <si>
    <t>¥5,000.00 及以上、你已经答过的行</t>
  </si>
  <si>
    <t>我们的猜测，没核对：请看一遍</t>
  </si>
  <si>
    <t>猜对了，就在「明细」的“我核对过”列填 x；猜错了，就改分类。</t>
  </si>
  <si>
    <t>每条规则抓到了什么</t>
  </si>
  <si>
    <t>规则答了 37 行里的 21 行，其中 18 行来自五个字符以内的短规则。请看第一张表上每条规则抓到了什么。</t>
  </si>
  <si>
    <t>原文</t>
  </si>
  <si>
    <t>这一行写的</t>
  </si>
  <si>
    <t>云岫民宿  →  销售和服务收入</t>
  </si>
  <si>
    <t>邻里超市  →  私人开支</t>
  </si>
  <si>
    <t>激光切割机  →  大额购置</t>
  </si>
  <si>
    <t>禾田创业园  →  房租</t>
  </si>
  <si>
    <t>工作手机  →  通讯和网络</t>
  </si>
  <si>
    <t>财产保险 工作室  →  保险</t>
  </si>
  <si>
    <t>南浔丝线  →  进货和材料</t>
  </si>
  <si>
    <t>设计软件  →  软件和订阅</t>
  </si>
  <si>
    <t>增值税  →  税费和政府缴费</t>
  </si>
  <si>
    <t>春水茶馆  →  销售和服务收入</t>
  </si>
  <si>
    <t>拾光书店  →  销售和服务收入</t>
  </si>
  <si>
    <t>你的账户: 储蓄账户6621  →  自己账户之间转账</t>
  </si>
  <si>
    <t>请确认这些假设</t>
  </si>
  <si>
    <t>¥5,000.00 及以上的每一笔，进或出，都在第一张表上，要么等你决定，要么你已经答过。</t>
  </si>
  <si>
    <t>怎么用</t>
  </si>
  <si>
    <t>先看「要你决定」。每一行要你决定什么，都写在那里。</t>
  </si>
  <si>
    <t>到「明细」表的蓝色列，从下拉里选分类。合计、月度、图表和第一张表的清单会马上跟着变。</t>
  </si>
  <si>
    <t>想退回去，就选「待你决定」，这笔钱会回到「还没决定」里。</t>
  </si>
  <si>
    <t>「自己账户之间转账」是在你自己的账户之间挪钱，不算收入，也不算支出。</t>
  </si>
  <si>
    <t>「私人开支」「大额购置」「税费和政府缴费」单独放，不算进支出，方便你看，也方便你问会计。</t>
  </si>
  <si>
    <t>一行粘贴了两次，就把第二行选成「不计入」。余额接得上之后，警告就会消失；如果那一行是真的，警告会留着。</t>
  </si>
  <si>
    <t>少了一行，就补在「明细」底部的空行里。期初加变动重新等于期末后，警告就会消失。</t>
  </si>
  <si>
    <t>“我们的猜测，没核对”是只凭一个词猜的。猜对了就在“我核对过”列填 x，猜错了就改分类。</t>
  </si>
  <si>
    <t>你的选择优先于规则。如果让助手重新生成这份工作簿，请让它把这个文件传回去，否则下拉里的选择会丢。</t>
  </si>
  <si>
    <t>要加一行，就填在「明细」底部的空行里：日期、原文、金额（支出前面加负号）、分类。</t>
  </si>
  <si>
    <t>要加分类，就把名字填在「分类汇总」最后的蓝色行里。它算作支出。</t>
  </si>
  <si>
    <t>这份工作簿不判断什么能抵税。分类名只是日常记账用词，其他由你的会计决定。</t>
  </si>
  <si>
    <t>这里没有任何联网的内容，流水只在这个文件里。发给别人之前请想一想。</t>
  </si>
</sst>
</file>

<file path=xl/styles.xml><?xml version="1.0" encoding="utf-8"?>
<styleSheet xmlns="http://schemas.openxmlformats.org/spreadsheetml/2006/main">
  <numFmts count="5">
    <numFmt numFmtId="164" formatCode="&quot;¥&quot;#,##0.00;-&quot;¥&quot;#,##0.00;&quot;¥&quot;0.00"/>
    <numFmt numFmtId="165" formatCode="yyyy-mm-dd"/>
    <numFmt numFmtId="166" formatCode="0;-0;;"/>
    <numFmt numFmtId="167" formatCode="&quot;¥&quot;#,##0.00;-&quot;¥&quot;#,##0.00;;"/>
    <numFmt numFmtId="168" formatCode="yyyy&quot;年&quot;m&quot;月&quot;"/>
  </numFmts>
  <fonts count="22">
    <font>
      <sz val="11"/>
      <color theme="1"/>
      <name val="Calibri"/>
      <family val="2"/>
      <scheme val="minor"/>
    </font>
    <font>
      <sz val="10.5"/>
      <color rgb="FF16203A"/>
      <name val="Microsoft YaHei"/>
      <family val="2"/>
    </font>
    <font>
      <sz val="10.5"/>
      <color rgb="FFF7F2E6"/>
      <name val="Microsoft YaHei"/>
      <family val="2"/>
    </font>
    <font>
      <b/>
      <sz val="20"/>
      <color rgb="FF2346C7"/>
      <name val="Microsoft YaHei"/>
      <family val="2"/>
    </font>
    <font>
      <sz val="10.5"/>
      <color rgb="FF6C6A61"/>
      <name val="Microsoft YaHei"/>
      <family val="2"/>
    </font>
    <font>
      <b/>
      <sz val="10.5"/>
      <color rgb="FFC21F30"/>
      <name val="Microsoft YaHei"/>
      <family val="2"/>
    </font>
    <font>
      <b/>
      <sz val="17"/>
      <color rgb="FF16203A"/>
      <name val="Microsoft YaHei"/>
      <family val="2"/>
    </font>
    <font>
      <b/>
      <sz val="10.5"/>
      <color rgb="FF16203A"/>
      <name val="Microsoft YaHei"/>
      <family val="2"/>
    </font>
    <font>
      <b/>
      <i/>
      <sz val="10.5"/>
      <color rgb="FF2346C7"/>
      <name val="Microsoft YaHei"/>
      <family val="2"/>
    </font>
    <font>
      <b/>
      <sz val="10.5"/>
      <color rgb="FF2346C7"/>
      <name val="Microsoft YaHei"/>
      <family val="2"/>
    </font>
    <font>
      <b/>
      <sz val="10.5"/>
      <color rgb="FF007A5A"/>
      <name val="Microsoft YaHei"/>
      <family val="2"/>
    </font>
    <font>
      <b/>
      <sz val="10.5"/>
      <color rgb="FF3B3F6B"/>
      <name val="Microsoft YaHei"/>
      <family val="2"/>
    </font>
    <font>
      <b/>
      <sz val="10.5"/>
      <color rgb="FF8E2A78"/>
      <name val="Microsoft YaHei"/>
      <family val="2"/>
    </font>
    <font>
      <b/>
      <sz val="10.5"/>
      <color rgb="FFA64B00"/>
      <name val="Microsoft YaHei"/>
      <family val="2"/>
    </font>
    <font>
      <b/>
      <sz val="10.5"/>
      <color rgb="FF555A66"/>
      <name val="Microsoft YaHei"/>
      <family val="2"/>
    </font>
    <font>
      <b/>
      <sz val="10.5"/>
      <color rgb="FF8B8878"/>
      <name val="Microsoft YaHei"/>
      <family val="2"/>
    </font>
    <font>
      <b/>
      <sz val="13"/>
      <color rgb="FF16203A"/>
      <name val="Microsoft YaHei"/>
      <family val="2"/>
    </font>
    <font>
      <sz val="10.5"/>
      <color rgb="FF2346C7"/>
      <name val="Microsoft YaHei"/>
      <family val="2"/>
    </font>
    <font>
      <b/>
      <sz val="18"/>
      <color rgb="FF16203A"/>
      <name val="Microsoft YaHei"/>
      <family val="2"/>
    </font>
    <font>
      <sz val="10.5"/>
      <color rgb="FFC21F30"/>
      <name val="Microsoft YaHei"/>
      <family val="2"/>
    </font>
    <font>
      <sz val="10.5"/>
      <color rgb="FF16203A"/>
      <name val="Microsoft YaHei"/>
      <family val="2"/>
    </font>
    <font>
      <b/>
      <sz val="12"/>
      <color rgb="FF16203A"/>
      <name val="Microsoft YaHei"/>
      <family val="2"/>
    </font>
  </fonts>
  <fills count="4">
    <fill>
      <patternFill patternType="none"/>
    </fill>
    <fill>
      <patternFill patternType="gray125"/>
    </fill>
    <fill>
      <patternFill patternType="solid">
        <fgColor rgb="FFF7F2E6"/>
        <bgColor indexed="64"/>
      </patternFill>
    </fill>
    <fill>
      <patternFill patternType="solid">
        <fgColor rgb="FFE7ECFB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E7E0CD"/>
      </bottom>
      <diagonal/>
    </border>
    <border>
      <left/>
      <right/>
      <top/>
      <bottom style="medium">
        <color rgb="FF16203A"/>
      </bottom>
      <diagonal/>
    </border>
    <border>
      <left/>
      <right/>
      <top style="thin">
        <color rgb="FFCFC7B2"/>
      </top>
      <bottom/>
      <diagonal/>
    </border>
    <border>
      <left/>
      <right/>
      <top/>
      <bottom style="thin">
        <color rgb="FFCFC7B2"/>
      </bottom>
      <diagonal/>
    </border>
    <border>
      <left/>
      <right/>
      <top style="thin">
        <color rgb="FFE7E0CD"/>
      </top>
      <bottom/>
      <diagonal/>
    </border>
    <border>
      <left/>
      <right/>
      <top style="medium">
        <color rgb="FF16203A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top" wrapText="1"/>
    </xf>
    <xf numFmtId="0" fontId="7" fillId="2" borderId="1" xfId="0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1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164" fontId="7" fillId="2" borderId="3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7" fillId="2" borderId="2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17" fillId="3" borderId="4" xfId="0" applyFont="1" applyFill="1" applyBorder="1" applyAlignment="1" applyProtection="1">
      <alignment vertical="center"/>
      <protection locked="0"/>
    </xf>
    <xf numFmtId="0" fontId="17" fillId="3" borderId="4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165" fontId="17" fillId="3" borderId="4" xfId="0" applyNumberFormat="1" applyFont="1" applyFill="1" applyBorder="1" applyAlignment="1" applyProtection="1">
      <alignment horizontal="left" vertical="center"/>
      <protection locked="0"/>
    </xf>
    <xf numFmtId="164" fontId="17" fillId="3" borderId="4" xfId="0" applyNumberFormat="1" applyFont="1" applyFill="1" applyBorder="1" applyAlignment="1" applyProtection="1">
      <alignment vertical="center"/>
      <protection locked="0"/>
    </xf>
    <xf numFmtId="166" fontId="1" fillId="2" borderId="3" xfId="0" applyNumberFormat="1" applyFont="1" applyFill="1" applyBorder="1" applyAlignment="1">
      <alignment horizontal="right" vertical="center"/>
    </xf>
    <xf numFmtId="167" fontId="1" fillId="2" borderId="3" xfId="0" applyNumberFormat="1" applyFont="1" applyFill="1" applyBorder="1" applyAlignment="1">
      <alignment vertical="center"/>
    </xf>
    <xf numFmtId="167" fontId="7" fillId="2" borderId="3" xfId="0" applyNumberFormat="1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20" fillId="2" borderId="3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/>
    </xf>
    <xf numFmtId="166" fontId="1" fillId="2" borderId="5" xfId="0" applyNumberFormat="1" applyFont="1" applyFill="1" applyBorder="1" applyAlignment="1">
      <alignment horizontal="right" vertical="center"/>
    </xf>
    <xf numFmtId="167" fontId="1" fillId="2" borderId="5" xfId="0" applyNumberFormat="1" applyFont="1" applyFill="1" applyBorder="1" applyAlignment="1">
      <alignment vertical="center"/>
    </xf>
    <xf numFmtId="167" fontId="7" fillId="2" borderId="5" xfId="0" applyNumberFormat="1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3" fillId="2" borderId="3" xfId="0" applyFont="1" applyFill="1" applyBorder="1" applyAlignment="1">
      <alignment vertical="center"/>
    </xf>
    <xf numFmtId="0" fontId="14" fillId="2" borderId="3" xfId="0" applyFont="1" applyFill="1" applyBorder="1" applyAlignment="1">
      <alignment vertical="center"/>
    </xf>
    <xf numFmtId="0" fontId="15" fillId="2" borderId="3" xfId="0" applyFont="1" applyFill="1" applyBorder="1" applyAlignment="1">
      <alignment vertical="center"/>
    </xf>
    <xf numFmtId="0" fontId="17" fillId="3" borderId="3" xfId="0" applyFont="1" applyFill="1" applyBorder="1" applyAlignment="1" applyProtection="1">
      <alignment vertical="center"/>
      <protection locked="0"/>
    </xf>
    <xf numFmtId="0" fontId="17" fillId="3" borderId="5" xfId="0" applyFont="1" applyFill="1" applyBorder="1" applyAlignment="1" applyProtection="1">
      <alignment vertical="center"/>
      <protection locked="0"/>
    </xf>
    <xf numFmtId="0" fontId="7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164" fontId="7" fillId="2" borderId="6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1" fillId="2" borderId="2" xfId="0" applyFont="1" applyFill="1" applyBorder="1" applyAlignment="1">
      <alignment vertical="center"/>
    </xf>
    <xf numFmtId="1" fontId="1" fillId="2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right" wrapText="1"/>
    </xf>
    <xf numFmtId="168" fontId="7" fillId="2" borderId="1" xfId="0" applyNumberFormat="1" applyFont="1" applyFill="1" applyBorder="1" applyAlignment="1">
      <alignment horizontal="left" vertical="center"/>
    </xf>
    <xf numFmtId="167" fontId="1" fillId="2" borderId="1" xfId="0" applyNumberFormat="1" applyFont="1" applyFill="1" applyBorder="1" applyAlignment="1">
      <alignment vertical="center"/>
    </xf>
    <xf numFmtId="168" fontId="7" fillId="2" borderId="2" xfId="0" applyNumberFormat="1" applyFont="1" applyFill="1" applyBorder="1" applyAlignment="1">
      <alignment horizontal="right" vertical="center"/>
    </xf>
    <xf numFmtId="1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7" fillId="2" borderId="1" xfId="0" applyNumberFormat="1" applyFont="1" applyFill="1" applyBorder="1" applyAlignment="1">
      <alignment horizontal="right" vertical="center"/>
    </xf>
    <xf numFmtId="0" fontId="20" fillId="2" borderId="1" xfId="0" applyFont="1" applyFill="1" applyBorder="1" applyAlignment="1">
      <alignment vertical="center"/>
    </xf>
    <xf numFmtId="1" fontId="20" fillId="2" borderId="1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vertical="center"/>
    </xf>
  </cellXfs>
  <cellStyles count="1">
    <cellStyle name="Normal" xfId="0" builtinId="0"/>
  </cellStyles>
  <dxfs count="15">
    <dxf>
      <font>
        <color rgb="FF16203A"/>
      </font>
      <fill>
        <patternFill>
          <bgColor rgb="FFFFD92E"/>
        </patternFill>
      </fill>
    </dxf>
    <dxf>
      <font>
        <i/>
        <color rgb="FF2346C7"/>
      </font>
    </dxf>
    <dxf>
      <font>
        <color rgb="FF007A5A"/>
      </font>
      <fill>
        <patternFill>
          <bgColor rgb="FFDDF1E8"/>
        </patternFill>
      </fill>
    </dxf>
    <dxf>
      <font>
        <color rgb="FF2346C7"/>
      </font>
      <fill>
        <patternFill>
          <bgColor rgb="FFE7ECFB"/>
        </patternFill>
      </fill>
    </dxf>
    <dxf>
      <font>
        <color rgb="FF3B3F6B"/>
      </font>
      <fill>
        <patternFill>
          <bgColor rgb="FFE4E5F2"/>
        </patternFill>
      </fill>
    </dxf>
    <dxf>
      <font>
        <color rgb="FF8E2A78"/>
      </font>
      <fill>
        <patternFill>
          <bgColor rgb="FFF5E2F0"/>
        </patternFill>
      </fill>
    </dxf>
    <dxf>
      <font>
        <color rgb="FFA64B00"/>
      </font>
      <fill>
        <patternFill>
          <bgColor rgb="FFF9E7D4"/>
        </patternFill>
      </fill>
    </dxf>
    <dxf>
      <font>
        <color rgb="FF555A66"/>
      </font>
      <fill>
        <patternFill>
          <bgColor rgb="FFE8E6DE"/>
        </patternFill>
      </fill>
    </dxf>
    <dxf>
      <font>
        <color rgb="FF8B8878"/>
      </font>
      <fill>
        <patternFill>
          <bgColor rgb="FFF7F2E6"/>
        </patternFill>
      </fill>
    </dxf>
    <dxf>
      <fill>
        <patternFill>
          <bgColor rgb="FFFFD92E"/>
        </patternFill>
      </fill>
    </dxf>
    <dxf>
      <font>
        <b/>
        <color rgb="FFC21F30"/>
      </font>
      <fill>
        <patternFill>
          <bgColor rgb="FFFBE3E2"/>
        </patternFill>
      </fill>
    </dxf>
    <dxf>
      <font>
        <i/>
        <color rgb="FF6C6A61"/>
      </font>
    </dxf>
    <dxf>
      <font>
        <color rgb="FFFFFFFF"/>
      </font>
      <fill>
        <patternFill>
          <bgColor rgb="FFC21F30"/>
        </patternFill>
      </fill>
    </dxf>
    <dxf>
      <fill>
        <patternFill>
          <bgColor rgb="FFFFF1A8"/>
        </patternFill>
      </fill>
    </dxf>
    <dxf>
      <font>
        <color rgb="FFA7A493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'月度汇总'!$C$5</c:f>
              <c:strCache>
                <c:ptCount val="1"/>
                <c:pt idx="0">
                  <c:v>收入</c:v>
                </c:pt>
              </c:strCache>
            </c:strRef>
          </c:tx>
          <c:spPr>
            <a:solidFill>
              <a:srgbClr val="007A5A"/>
            </a:solidFill>
            <a:ln w="9525">
              <a:solidFill>
                <a:srgbClr val="007A5A"/>
              </a:solidFill>
            </a:ln>
          </c:spPr>
          <c:cat>
            <c:numRef>
              <c:f>'月度汇总'!$B$6:$B$8</c:f>
              <c:numCache>
                <c:formatCode>General</c:formatCode>
                <c:ptCount val="3"/>
                <c:pt idx="0">
                  <c:v>46235.0</c:v>
                </c:pt>
                <c:pt idx="1">
                  <c:v>46266.0</c:v>
                </c:pt>
                <c:pt idx="2">
                  <c:v>46296.0</c:v>
                </c:pt>
              </c:numCache>
            </c:numRef>
          </c:cat>
          <c:val>
            <c:numRef>
              <c:f>'月度汇总'!$C$6:$C$8</c:f>
              <c:numCache>
                <c:formatCode>General</c:formatCode>
                <c:ptCount val="3"/>
                <c:pt idx="0">
                  <c:v>18000.0</c:v>
                </c:pt>
                <c:pt idx="1">
                  <c:v>17600.0</c:v>
                </c:pt>
                <c:pt idx="2">
                  <c:v>15212.5</c:v>
                </c:pt>
              </c:numCache>
            </c:numRef>
          </c:val>
        </c:ser>
        <c:ser>
          <c:idx val="1"/>
          <c:order val="1"/>
          <c:tx>
            <c:strRef>
              <c:f>'月度汇总'!$D$5</c:f>
              <c:strCache>
                <c:ptCount val="1"/>
                <c:pt idx="0">
                  <c:v>支出</c:v>
                </c:pt>
              </c:strCache>
            </c:strRef>
          </c:tx>
          <c:spPr>
            <a:solidFill>
              <a:srgbClr val="2346C7"/>
            </a:solidFill>
            <a:ln w="9525">
              <a:solidFill>
                <a:srgbClr val="2346C7"/>
              </a:solidFill>
            </a:ln>
          </c:spPr>
          <c:cat>
            <c:numRef>
              <c:f>'月度汇总'!$B$6:$B$8</c:f>
              <c:numCache>
                <c:formatCode>General</c:formatCode>
                <c:ptCount val="3"/>
                <c:pt idx="0">
                  <c:v>46235.0</c:v>
                </c:pt>
                <c:pt idx="1">
                  <c:v>46266.0</c:v>
                </c:pt>
                <c:pt idx="2">
                  <c:v>46296.0</c:v>
                </c:pt>
              </c:numCache>
            </c:numRef>
          </c:cat>
          <c:val>
            <c:numRef>
              <c:f>'月度汇总'!$D$6:$D$8</c:f>
              <c:numCache>
                <c:formatCode>General</c:formatCode>
                <c:ptCount val="3"/>
                <c:pt idx="0">
                  <c:v>10681.0</c:v>
                </c:pt>
                <c:pt idx="1">
                  <c:v>9929.0</c:v>
                </c:pt>
                <c:pt idx="2">
                  <c:v>6629.0</c:v>
                </c:pt>
              </c:numCache>
            </c:numRef>
          </c:val>
        </c:ser>
        <c:ser>
          <c:idx val="2"/>
          <c:order val="2"/>
          <c:tx>
            <c:strRef>
              <c:f>'月度汇总'!$J$5</c:f>
              <c:strCache>
                <c:ptCount val="1"/>
                <c:pt idx="0">
                  <c:v>未决定</c:v>
                </c:pt>
              </c:strCache>
            </c:strRef>
          </c:tx>
          <c:spPr>
            <a:solidFill>
              <a:srgbClr val="FFD92E"/>
            </a:solidFill>
            <a:ln w="9525">
              <a:solidFill>
                <a:srgbClr val="16203A"/>
              </a:solidFill>
            </a:ln>
          </c:spPr>
          <c:cat>
            <c:numRef>
              <c:f>'月度汇总'!$B$6:$B$8</c:f>
              <c:numCache>
                <c:formatCode>General</c:formatCode>
                <c:ptCount val="3"/>
                <c:pt idx="0">
                  <c:v>46235.0</c:v>
                </c:pt>
                <c:pt idx="1">
                  <c:v>46266.0</c:v>
                </c:pt>
                <c:pt idx="2">
                  <c:v>46296.0</c:v>
                </c:pt>
              </c:numCache>
            </c:numRef>
          </c:cat>
          <c:val>
            <c:numRef>
              <c:f>'月度汇总'!$J$6:$J$8</c:f>
              <c:numCache>
                <c:formatCode>General</c:formatCode>
                <c:ptCount val="3"/>
                <c:pt idx="0">
                  <c:v>11012.3</c:v>
                </c:pt>
                <c:pt idx="1">
                  <c:v>4114.8</c:v>
                </c:pt>
                <c:pt idx="2">
                  <c:v>5033.6</c:v>
                </c:pt>
              </c:numCache>
            </c:numRef>
          </c:val>
        </c:ser>
        <c:gapWidth val="90"/>
        <c:overlap val="-6"/>
        <c:axId val="50010001"/>
        <c:axId val="50010002"/>
      </c:barChart>
      <c:catAx>
        <c:axId val="50010001"/>
        <c:scaling>
          <c:orientation val="minMax"/>
        </c:scaling>
        <c:axPos val="b"/>
        <c:numFmt formatCode="yyyy&quot;年&quot;m&quot;月&quot;" sourceLinked="0"/>
        <c:tickLblPos val="nextTo"/>
        <c:spPr>
          <a:ln>
            <a:solidFill>
              <a:srgbClr val="CFC7B2"/>
            </a:solidFill>
          </a:ln>
        </c:spPr>
        <c:txPr>
          <a:bodyPr/>
          <a:lstStyle/>
          <a:p>
            <a:pPr>
              <a:defRPr sz="900" baseline="0">
                <a:solidFill>
                  <a:srgbClr val="6C6A61"/>
                </a:solidFill>
                <a:latin typeface="Microsoft YaHei"/>
              </a:defRPr>
            </a:pPr>
            <a:endParaRPr lang="en-US"/>
          </a:p>
        </c:txPr>
        <c:crossAx val="50010002"/>
        <c:crosses val="autoZero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 w="9525">
              <a:solidFill>
                <a:srgbClr val="E7E0CD"/>
              </a:solidFill>
            </a:ln>
          </c:spPr>
        </c:majorGridlines>
        <c:numFmt formatCode="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C6A61"/>
                </a:solidFill>
                <a:latin typeface="Microsoft YaHei"/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solidFill>
          <a:srgbClr val="F7F2E6"/>
        </a:solidFill>
      </c:spPr>
    </c:plotArea>
    <c:legend>
      <c:legendPos val="t"/>
      <c:layout/>
      <c:txPr>
        <a:bodyPr/>
        <a:lstStyle/>
        <a:p>
          <a:pPr>
            <a:defRPr sz="1000" baseline="0">
              <a:solidFill>
                <a:srgbClr val="16203A"/>
              </a:solidFill>
              <a:latin typeface="Microsoft YaHei"/>
            </a:defRPr>
          </a:pPr>
          <a:endParaRPr lang="en-US"/>
        </a:p>
      </c:txPr>
    </c:legend>
    <c:plotVisOnly val="1"/>
  </c:chart>
  <c:spPr>
    <a:solidFill>
      <a:srgbClr val="F7F2E6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8</xdr:col>
      <xdr:colOff>447675</xdr:colOff>
      <xdr:row>25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D92E"/>
    <pageSetUpPr fitToPage="1"/>
  </sheetPr>
  <dimension ref="A1:AE98"/>
  <sheetViews>
    <sheetView showGridLines="0" tabSelected="1" workbookViewId="0">
      <pane ySplit="8" topLeftCell="A9" activePane="bottomLeft" state="frozen"/>
      <selection pane="bottomLeft"/>
    </sheetView>
  </sheetViews>
  <sheetFormatPr defaultRowHeight="15"/>
  <cols>
    <col min="1" max="1" width="3.28515625" style="1" customWidth="1"/>
    <col min="2" max="2" width="6.7109375" style="1" customWidth="1"/>
    <col min="3" max="3" width="12.7109375" style="1" customWidth="1"/>
    <col min="4" max="4" width="36.7109375" style="1" customWidth="1"/>
    <col min="5" max="5" width="14.7109375" style="1" customWidth="1"/>
    <col min="6" max="6" width="56.7109375" style="1" customWidth="1"/>
    <col min="7" max="7" width="20.7109375" style="1" customWidth="1"/>
    <col min="8" max="8" width="24.7109375" style="1" customWidth="1"/>
    <col min="9" max="9" width="16.7109375" style="1" customWidth="1"/>
    <col min="10" max="10" width="3.28515625" style="1" customWidth="1"/>
    <col min="11" max="31" width="9.7109375" style="1" customWidth="1"/>
  </cols>
  <sheetData>
    <row r="1" spans="2:11">
      <c r="K1" s="2">
        <f>COUNTIF('明细'!$G$6:$G$72,"我们的猜测，没核对")</f>
        <v>5.0</v>
      </c>
    </row>
    <row r="2" spans="2:11" s="1" customFormat="1" ht="30" customHeight="1">
      <c r="B2" s="3" t="s">
        <v>154</v>
      </c>
      <c r="K2" s="2">
        <f>'分类汇总'!$E$39</f>
        <v>50812.5</v>
      </c>
    </row>
    <row r="3" spans="2:11">
      <c r="B3" s="4" t="s">
        <v>155</v>
      </c>
      <c r="K3" s="2">
        <f>-'分类汇总'!$E$40</f>
        <v>27239.0</v>
      </c>
    </row>
    <row r="4" spans="2:11">
      <c r="B4" s="5" t="s">
        <v>2</v>
      </c>
    </row>
    <row r="6" spans="2:11" s="1" customFormat="1" ht="62.25" customHeight="1">
      <c r="B6" s="6" t="str">
        <f>IF(ss_fail&gt;0,"这些合计先别用：有 "&amp;ss_fail&amp;" 项核对和流水对不上，见「核对」表。",IF(ss_undecided_n&gt;0,"还没分完："&amp;COUNTA('明细'!$D$6:$D$72)&amp;" 行里有 "&amp;ss_undecided_n&amp;" 行、"&amp;"¥"&amp;TEXT(ss_undecided,"#,##0.00")&amp;" 要你决定。",IF(ss_guess_n&gt;0,"没有等你决定的行，但有 "&amp;ss_guess_n&amp;" 行、"&amp;"¥"&amp;TEXT(ss_guess,"#,##0.00")&amp;" 是我们的猜测，没核对。用这些合计之前请看一遍。",IF(ss_edits&gt;0,"每一行都答过了，但这份已经和读到的不一样："&amp;ss_edit_text&amp;"。这些地方的数字证明不了什么。",IF(ss_cannot&gt;0,"每一行都答过了，但没法证明流水是完整的：上面有核对没对上。见「核对」表。","每一行都答过了，数字和流水对得上。对得上只说明数字加起来相符，不说明分类是对的。")))))</f>
        <v>还没分完：37 行里有 11 行、¥20,160.70 要你决定。</v>
      </c>
      <c r="C6" s="6"/>
      <c r="D6" s="6"/>
      <c r="E6" s="6"/>
      <c r="F6" s="6"/>
      <c r="G6" s="6"/>
      <c r="H6" s="6"/>
      <c r="I6" s="6"/>
    </row>
    <row r="7" spans="2:11" s="1" customFormat="1" ht="33.75" customHeight="1">
      <c r="B7" s="7" t="str">
        <f>IF(ss_edits&gt;0,"读入之后在表上改过的："&amp;ss_edit_text&amp;" ","")&amp;IF(ss_fail&gt;0,IF(ss_balance_diff="","",IF(ss_balance_diff=0,"","差额 ¥"&amp;TEXT(ABS(ss_balance_diff),"#,##0.00")&amp;IF(ss_first_line="","","。余额第一次接不上在「明细」第 "&amp;ss_first_line&amp;" 行，原文第 "&amp;ss_first_break&amp;" 行。")&amp;" ")),"")&amp;IF(ss_undecided_n=0,"",IF(ss_fail&gt;0,"还没分完："&amp;COUNTA('明细'!$D$6:$D$72)&amp;" 行里有 "&amp;ss_undecided_n&amp;" 行、"&amp;"¥"&amp;TEXT(ss_undecided,"#,##0.00")&amp;" 要你决定。"&amp;" ","")&amp;"定下来之前，下面的合计都不含这笔钱。")</f>
        <v>定下来之前，下面的合计都不含这笔钱。</v>
      </c>
      <c r="C7" s="8"/>
      <c r="D7" s="8"/>
      <c r="E7" s="8"/>
      <c r="F7" s="8"/>
      <c r="G7" s="8"/>
      <c r="H7" s="8"/>
      <c r="I7" s="8"/>
    </row>
    <row r="8" spans="2:11" s="1" customFormat="1" ht="33.75" customHeight="1">
      <c r="B8" s="9" t="s">
        <v>156</v>
      </c>
      <c r="C8" s="9"/>
      <c r="D8" s="9"/>
      <c r="E8" s="9"/>
      <c r="F8" s="9"/>
      <c r="G8" s="9"/>
      <c r="H8" s="9"/>
      <c r="I8" s="9"/>
    </row>
    <row r="9" spans="2:11">
      <c r="B9" s="10" t="s">
        <v>157</v>
      </c>
      <c r="C9" s="10"/>
      <c r="D9" s="10"/>
      <c r="E9" s="11">
        <f>(SUMIFS('明细'!$D$6:$D$72,'明细'!$N$6:$N$72,'分类汇总'!$B$6,'明细'!$D$6:$D$72,"&gt;0")-SUMIFS('明细'!$D$6:$D$72,'明细'!$N$6:$N$72,'分类汇总'!$B$6,'明细'!$D$6:$D$72,"&lt;0"))</f>
        <v>20160.7</v>
      </c>
      <c r="F9" s="7" t="s">
        <v>164</v>
      </c>
      <c r="G9" s="7"/>
      <c r="H9" s="7"/>
      <c r="I9" s="7"/>
    </row>
    <row r="10" spans="2:11">
      <c r="B10" s="12" t="str">
        <f>"我们的猜测，没核对 ("&amp;COUNTIF('明细'!$G$6:$G$72,"我们的猜测，没核对")&amp;")"</f>
        <v>我们的猜测，没核对 (5)</v>
      </c>
      <c r="C10" s="13"/>
      <c r="D10" s="13"/>
      <c r="E10" s="11">
        <f>(SUMIFS('明细'!$D$6:$D$72,'明细'!$G$6:$G$72,"我们的猜测，没核对",'明细'!$D$6:$D$72,"&gt;0")-SUMIFS('明细'!$D$6:$D$72,'明细'!$G$6:$G$72,"我们的猜测，没核对",'明细'!$D$6:$D$72,"&lt;0"))</f>
        <v>664.5</v>
      </c>
      <c r="F10" s="7"/>
      <c r="G10" s="7"/>
      <c r="H10" s="7"/>
      <c r="I10" s="7"/>
    </row>
    <row r="11" spans="2:11">
      <c r="B11" s="14" t="s">
        <v>158</v>
      </c>
      <c r="C11" s="14"/>
      <c r="D11" s="14"/>
      <c r="E11" s="11">
        <f>$K$2-E12</f>
        <v>50800.0</v>
      </c>
      <c r="F11" s="7"/>
      <c r="G11" s="7"/>
      <c r="H11" s="7"/>
      <c r="I11" s="7"/>
    </row>
    <row r="12" spans="2:11">
      <c r="B12" s="14" t="s">
        <v>159</v>
      </c>
      <c r="C12" s="14"/>
      <c r="D12" s="14"/>
      <c r="E12" s="11">
        <f>SUMIFS('明细'!$D$6:$D$72,'明细'!$N$6:$N$72,'分类汇总'!$B$39,'明细'!$G$6:$G$72,"我们的猜测，没核对")</f>
        <v>12.5</v>
      </c>
      <c r="F12" s="7" t="s">
        <v>165</v>
      </c>
      <c r="G12" s="7"/>
      <c r="H12" s="7"/>
      <c r="I12" s="7"/>
    </row>
    <row r="13" spans="2:11">
      <c r="B13" s="13" t="s">
        <v>160</v>
      </c>
      <c r="C13" s="13"/>
      <c r="D13" s="13"/>
      <c r="E13" s="11">
        <f>$K$3-E14</f>
        <v>26587.0</v>
      </c>
      <c r="F13" s="7"/>
      <c r="G13" s="7"/>
      <c r="H13" s="7"/>
      <c r="I13" s="7"/>
    </row>
    <row r="14" spans="2:11">
      <c r="B14" s="13" t="s">
        <v>161</v>
      </c>
      <c r="C14" s="13"/>
      <c r="D14" s="13"/>
      <c r="E14" s="11">
        <f>-SUMIFS('明细'!$D$6:$D$72,'明细'!$N$6:$N$72,'分类汇总'!$B$40,'明细'!$G$6:$G$72,"我们的猜测，没核对")</f>
        <v>652.0</v>
      </c>
      <c r="F14" s="7"/>
      <c r="G14" s="7"/>
      <c r="H14" s="7"/>
      <c r="I14" s="7"/>
    </row>
    <row r="15" spans="2:11">
      <c r="B15" s="15" t="s">
        <v>85</v>
      </c>
      <c r="C15" s="15"/>
      <c r="D15" s="15"/>
      <c r="E15" s="11">
        <f>-'分类汇总'!$E$41</f>
        <v>4200.0</v>
      </c>
      <c r="F15" s="7"/>
      <c r="G15" s="7"/>
      <c r="H15" s="7"/>
      <c r="I15" s="7"/>
    </row>
    <row r="16" spans="2:11">
      <c r="B16" s="16" t="s">
        <v>48</v>
      </c>
      <c r="C16" s="16"/>
      <c r="D16" s="16"/>
      <c r="E16" s="11">
        <f>-'分类汇总'!$E$42</f>
        <v>686.4</v>
      </c>
      <c r="F16" s="7" t="s">
        <v>166</v>
      </c>
      <c r="G16" s="7"/>
      <c r="H16" s="7"/>
      <c r="I16" s="7"/>
    </row>
    <row r="17" spans="2:9">
      <c r="B17" s="17" t="s">
        <v>72</v>
      </c>
      <c r="C17" s="17"/>
      <c r="D17" s="17"/>
      <c r="E17" s="11">
        <f>-'分类汇总'!$E$43</f>
        <v>18600.0</v>
      </c>
      <c r="F17" s="7"/>
      <c r="G17" s="7"/>
      <c r="H17" s="7"/>
      <c r="I17" s="7"/>
    </row>
    <row r="18" spans="2:9">
      <c r="B18" s="18" t="s">
        <v>44</v>
      </c>
      <c r="C18" s="18"/>
      <c r="D18" s="18"/>
      <c r="E18" s="11">
        <f>'分类汇总'!$E$44</f>
        <v>-9000.0</v>
      </c>
      <c r="F18" s="7"/>
      <c r="G18" s="7"/>
      <c r="H18" s="7"/>
      <c r="I18" s="7"/>
    </row>
    <row r="19" spans="2:9">
      <c r="B19" s="18" t="s">
        <v>94</v>
      </c>
      <c r="C19" s="18"/>
      <c r="D19" s="18"/>
      <c r="E19" s="11">
        <f>'分类汇总'!$E$45</f>
        <v>0.0</v>
      </c>
      <c r="F19" s="7" t="s">
        <v>167</v>
      </c>
      <c r="G19" s="7"/>
      <c r="H19" s="7"/>
      <c r="I19" s="7"/>
    </row>
    <row r="20" spans="2:9">
      <c r="B20" s="13" t="s">
        <v>162</v>
      </c>
      <c r="C20" s="13"/>
      <c r="D20" s="13"/>
      <c r="E20" s="11">
        <f>SUMIFS('明细'!$D$6:$D$72,'明细'!$N$6:$N$72,'分类汇总'!$B$40,'明细'!$D$6:$D$72,"&gt;0")</f>
        <v>460.0</v>
      </c>
      <c r="F20" s="7"/>
      <c r="G20" s="7"/>
      <c r="H20" s="7"/>
      <c r="I20" s="7"/>
    </row>
    <row r="21" spans="2:9">
      <c r="B21" s="19" t="s">
        <v>163</v>
      </c>
      <c r="C21" s="19"/>
      <c r="D21" s="19"/>
      <c r="E21" s="11">
        <f>(SUMIFS('明细'!$D$6:$D$72,'明细'!$N$6:$N$72,'分类汇总'!$B$46,'明细'!$D$6:$D$72,"&gt;0")-SUMIFS('明细'!$D$6:$D$72,'明细'!$N$6:$N$72,'分类汇总'!$B$46,'明细'!$D$6:$D$72,"&lt;0"))</f>
        <v>0.0</v>
      </c>
      <c r="F21" s="7"/>
      <c r="G21" s="7"/>
      <c r="H21" s="7"/>
      <c r="I21" s="7"/>
    </row>
    <row r="23" spans="2:9">
      <c r="B23" s="20" t="s">
        <v>168</v>
      </c>
    </row>
    <row r="24" spans="2:9">
      <c r="B24" s="4" t="s">
        <v>169</v>
      </c>
    </row>
    <row r="25" spans="2:9">
      <c r="B25" s="21" t="s">
        <v>3</v>
      </c>
      <c r="C25" s="21" t="s">
        <v>4</v>
      </c>
      <c r="D25" s="21" t="s">
        <v>5</v>
      </c>
      <c r="E25" s="22" t="s">
        <v>6</v>
      </c>
      <c r="F25" s="21" t="s">
        <v>170</v>
      </c>
      <c r="G25" s="21" t="s">
        <v>11</v>
      </c>
      <c r="H25" s="21" t="s">
        <v>171</v>
      </c>
      <c r="I25" s="21" t="s">
        <v>9</v>
      </c>
    </row>
    <row r="26" spans="2:9" s="1" customFormat="1" ht="33" customHeight="1">
      <c r="B26" s="23">
        <v>4</v>
      </c>
      <c r="C26" s="24">
        <v>46239</v>
      </c>
      <c r="D26" s="25" t="s">
        <v>39</v>
      </c>
      <c r="E26" s="26">
        <v>-412.3</v>
      </c>
      <c r="F26" s="25" t="s">
        <v>41</v>
      </c>
      <c r="G26" s="27" t="s">
        <v>42</v>
      </c>
      <c r="H26" s="28" t="str">
        <f>INDEX('明细'!$E$6:$E$72,B26)</f>
        <v>待你决定</v>
      </c>
      <c r="I26" s="29" t="str">
        <f>INDEX('明细'!$G$6:$G$72,B26)</f>
        <v>待你决定</v>
      </c>
    </row>
    <row r="27" spans="2:9" s="1" customFormat="1" ht="18" customHeight="1">
      <c r="B27" s="23">
        <v>6</v>
      </c>
      <c r="C27" s="24">
        <v>46243</v>
      </c>
      <c r="D27" s="25" t="s">
        <v>46</v>
      </c>
      <c r="E27" s="26">
        <v>-2000</v>
      </c>
      <c r="F27" s="25" t="s">
        <v>47</v>
      </c>
      <c r="G27" s="27" t="s">
        <v>48</v>
      </c>
      <c r="H27" s="28" t="str">
        <f>INDEX('明细'!$E$6:$E$72,B27)</f>
        <v>待你决定</v>
      </c>
      <c r="I27" s="29" t="str">
        <f>INDEX('明细'!$G$6:$G$72,B27)</f>
        <v>待你决定</v>
      </c>
    </row>
    <row r="28" spans="2:9" s="1" customFormat="1" ht="33" customHeight="1">
      <c r="B28" s="23">
        <v>10</v>
      </c>
      <c r="C28" s="24">
        <v>46250</v>
      </c>
      <c r="D28" s="25" t="s">
        <v>58</v>
      </c>
      <c r="E28" s="26">
        <v>8600</v>
      </c>
      <c r="F28" s="25" t="s">
        <v>59</v>
      </c>
      <c r="G28" s="27" t="s">
        <v>34</v>
      </c>
      <c r="H28" s="28" t="str">
        <f>INDEX('明细'!$E$6:$E$72,B28)</f>
        <v>待你决定</v>
      </c>
      <c r="I28" s="29" t="str">
        <f>INDEX('明细'!$G$6:$G$72,B28)</f>
        <v>待你决定</v>
      </c>
    </row>
    <row r="29" spans="2:9" s="1" customFormat="1" ht="33" customHeight="1">
      <c r="B29" s="23">
        <v>19</v>
      </c>
      <c r="C29" s="24">
        <v>46273</v>
      </c>
      <c r="D29" s="25" t="s">
        <v>74</v>
      </c>
      <c r="E29" s="26">
        <v>-398.8</v>
      </c>
      <c r="F29" s="25" t="s">
        <v>41</v>
      </c>
      <c r="G29" s="27" t="s">
        <v>42</v>
      </c>
      <c r="H29" s="28" t="str">
        <f>INDEX('明细'!$E$6:$E$72,B29)</f>
        <v>待你决定</v>
      </c>
      <c r="I29" s="29" t="str">
        <f>INDEX('明细'!$G$6:$G$72,B29)</f>
        <v>待你决定</v>
      </c>
    </row>
    <row r="30" spans="2:9" s="1" customFormat="1" ht="18" customHeight="1">
      <c r="B30" s="23">
        <v>20</v>
      </c>
      <c r="C30" s="24">
        <v>46275</v>
      </c>
      <c r="D30" s="25" t="s">
        <v>75</v>
      </c>
      <c r="E30" s="26">
        <v>-3500</v>
      </c>
      <c r="F30" s="25" t="s">
        <v>76</v>
      </c>
      <c r="G30" s="27" t="s">
        <v>172</v>
      </c>
      <c r="H30" s="28" t="str">
        <f>INDEX('明细'!$E$6:$E$72,B30)</f>
        <v>待你决定</v>
      </c>
      <c r="I30" s="29" t="str">
        <f>INDEX('明细'!$G$6:$G$72,B30)</f>
        <v>待你决定</v>
      </c>
    </row>
    <row r="31" spans="2:9" s="1" customFormat="1" ht="33" customHeight="1">
      <c r="B31" s="23">
        <v>24</v>
      </c>
      <c r="C31" s="24">
        <v>46283</v>
      </c>
      <c r="D31" s="25" t="s">
        <v>80</v>
      </c>
      <c r="E31" s="26">
        <v>-28</v>
      </c>
      <c r="F31" s="25" t="s">
        <v>83</v>
      </c>
      <c r="G31" s="27" t="s">
        <v>172</v>
      </c>
      <c r="H31" s="28" t="str">
        <f>INDEX('明细'!$E$6:$E$72,B31)</f>
        <v>待你决定</v>
      </c>
      <c r="I31" s="29" t="str">
        <f>INDEX('明细'!$G$6:$G$72,B31)</f>
        <v>待你决定</v>
      </c>
    </row>
    <row r="32" spans="2:9" s="1" customFormat="1" ht="33" customHeight="1">
      <c r="B32" s="23">
        <v>26</v>
      </c>
      <c r="C32" s="24">
        <v>46291</v>
      </c>
      <c r="D32" s="25" t="s">
        <v>87</v>
      </c>
      <c r="E32" s="26">
        <v>188</v>
      </c>
      <c r="F32" s="25" t="s">
        <v>88</v>
      </c>
      <c r="G32" s="27" t="s">
        <v>172</v>
      </c>
      <c r="H32" s="28" t="str">
        <f>INDEX('明细'!$E$6:$E$72,B32)</f>
        <v>待你决定</v>
      </c>
      <c r="I32" s="29" t="str">
        <f>INDEX('明细'!$G$6:$G$72,B32)</f>
        <v>待你决定</v>
      </c>
    </row>
    <row r="33" spans="2:9" s="1" customFormat="1" ht="18" customHeight="1">
      <c r="B33" s="23">
        <v>30</v>
      </c>
      <c r="C33" s="24">
        <v>46301</v>
      </c>
      <c r="D33" s="25" t="s">
        <v>89</v>
      </c>
      <c r="E33" s="26">
        <v>-246</v>
      </c>
      <c r="F33" s="25" t="s">
        <v>90</v>
      </c>
      <c r="G33" s="27" t="s">
        <v>48</v>
      </c>
      <c r="H33" s="28" t="str">
        <f>INDEX('明细'!$E$6:$E$72,B33)</f>
        <v>待你决定</v>
      </c>
      <c r="I33" s="29" t="str">
        <f>INDEX('明细'!$G$6:$G$72,B33)</f>
        <v>待你决定</v>
      </c>
    </row>
    <row r="34" spans="2:9" s="1" customFormat="1" ht="33" customHeight="1">
      <c r="B34" s="23">
        <v>31</v>
      </c>
      <c r="C34" s="24">
        <v>46303</v>
      </c>
      <c r="D34" s="25" t="s">
        <v>91</v>
      </c>
      <c r="E34" s="26">
        <v>-387.6</v>
      </c>
      <c r="F34" s="25" t="s">
        <v>41</v>
      </c>
      <c r="G34" s="27" t="s">
        <v>42</v>
      </c>
      <c r="H34" s="28" t="str">
        <f>INDEX('明细'!$E$6:$E$72,B34)</f>
        <v>待你决定</v>
      </c>
      <c r="I34" s="29" t="str">
        <f>INDEX('明细'!$G$6:$G$72,B34)</f>
        <v>待你决定</v>
      </c>
    </row>
    <row r="35" spans="2:9" s="1" customFormat="1" ht="33" customHeight="1">
      <c r="B35" s="23">
        <v>35</v>
      </c>
      <c r="C35" s="24">
        <v>46315</v>
      </c>
      <c r="D35" s="25" t="s">
        <v>92</v>
      </c>
      <c r="E35" s="26">
        <v>-2600</v>
      </c>
      <c r="F35" s="25" t="s">
        <v>93</v>
      </c>
      <c r="G35" s="27" t="s">
        <v>94</v>
      </c>
      <c r="H35" s="28" t="str">
        <f>INDEX('明细'!$E$6:$E$72,B35)</f>
        <v>待你决定</v>
      </c>
      <c r="I35" s="29" t="str">
        <f>INDEX('明细'!$G$6:$G$72,B35)</f>
        <v>待你决定</v>
      </c>
    </row>
    <row r="36" spans="2:9" s="1" customFormat="1" ht="18" customHeight="1">
      <c r="B36" s="23">
        <v>36</v>
      </c>
      <c r="C36" s="24">
        <v>46322</v>
      </c>
      <c r="D36" s="25" t="s">
        <v>95</v>
      </c>
      <c r="E36" s="26">
        <v>-1800</v>
      </c>
      <c r="F36" s="25" t="s">
        <v>96</v>
      </c>
      <c r="G36" s="27" t="s">
        <v>172</v>
      </c>
      <c r="H36" s="28" t="str">
        <f>INDEX('明细'!$E$6:$E$72,B36)</f>
        <v>待你决定</v>
      </c>
      <c r="I36" s="29" t="str">
        <f>INDEX('明细'!$G$6:$G$72,B36)</f>
        <v>待你决定</v>
      </c>
    </row>
    <row r="38" spans="2:9">
      <c r="B38" s="20" t="s">
        <v>173</v>
      </c>
    </row>
    <row r="39" spans="2:9">
      <c r="B39" s="21" t="s">
        <v>3</v>
      </c>
      <c r="C39" s="21" t="s">
        <v>4</v>
      </c>
      <c r="D39" s="21" t="s">
        <v>5</v>
      </c>
      <c r="E39" s="22" t="s">
        <v>6</v>
      </c>
      <c r="F39" s="21" t="s">
        <v>170</v>
      </c>
      <c r="G39" s="21" t="s">
        <v>11</v>
      </c>
      <c r="H39" s="21" t="s">
        <v>171</v>
      </c>
      <c r="I39" s="21" t="s">
        <v>9</v>
      </c>
    </row>
    <row r="40" spans="2:9" s="1" customFormat="1" ht="18" customHeight="1">
      <c r="B40" s="23">
        <v>1</v>
      </c>
      <c r="C40" s="24">
        <v>46235</v>
      </c>
      <c r="D40" s="25" t="s">
        <v>28</v>
      </c>
      <c r="E40" s="26">
        <v>-6500</v>
      </c>
      <c r="F40" s="25" t="s">
        <v>30</v>
      </c>
      <c r="G40" s="27" t="s">
        <v>31</v>
      </c>
      <c r="H40" s="28" t="str">
        <f>INDEX('明细'!$E$6:$E$72,B40)</f>
        <v>房租</v>
      </c>
      <c r="I40" s="29" t="str">
        <f>INDEX('明细'!$G$6:$G$72,B40)</f>
        <v>你说的</v>
      </c>
    </row>
    <row r="41" spans="2:9" s="1" customFormat="1" ht="18" customHeight="1">
      <c r="B41" s="23">
        <v>2</v>
      </c>
      <c r="C41" s="24">
        <v>46237</v>
      </c>
      <c r="D41" s="25" t="s">
        <v>33</v>
      </c>
      <c r="E41" s="26">
        <v>12800</v>
      </c>
      <c r="F41" s="25" t="s">
        <v>35</v>
      </c>
      <c r="G41" s="27" t="s">
        <v>31</v>
      </c>
      <c r="H41" s="28" t="str">
        <f>INDEX('明细'!$E$6:$E$72,B41)</f>
        <v>销售和服务收入</v>
      </c>
      <c r="I41" s="29" t="str">
        <f>INDEX('明细'!$G$6:$G$72,B41)</f>
        <v>你说的</v>
      </c>
    </row>
    <row r="42" spans="2:9" s="1" customFormat="1" ht="18" customHeight="1">
      <c r="B42" s="23">
        <v>5</v>
      </c>
      <c r="C42" s="24">
        <v>46241</v>
      </c>
      <c r="D42" s="25" t="s">
        <v>43</v>
      </c>
      <c r="E42" s="26">
        <v>-5000</v>
      </c>
      <c r="F42" s="25" t="s">
        <v>45</v>
      </c>
      <c r="G42" s="27" t="s">
        <v>31</v>
      </c>
      <c r="H42" s="28" t="str">
        <f>INDEX('明细'!$E$6:$E$72,B42)</f>
        <v>自己账户之间转账</v>
      </c>
      <c r="I42" s="29" t="str">
        <f>INDEX('明细'!$G$6:$G$72,B42)</f>
        <v>你说的</v>
      </c>
    </row>
    <row r="43" spans="2:9" s="1" customFormat="1" ht="18" customHeight="1">
      <c r="B43" s="23">
        <v>11</v>
      </c>
      <c r="C43" s="24">
        <v>46255</v>
      </c>
      <c r="D43" s="25" t="s">
        <v>60</v>
      </c>
      <c r="E43" s="26">
        <v>5200</v>
      </c>
      <c r="F43" s="25" t="s">
        <v>61</v>
      </c>
      <c r="G43" s="27" t="s">
        <v>31</v>
      </c>
      <c r="H43" s="28" t="str">
        <f>INDEX('明细'!$E$6:$E$72,B43)</f>
        <v>销售和服务收入</v>
      </c>
      <c r="I43" s="29" t="str">
        <f>INDEX('明细'!$G$6:$G$72,B43)</f>
        <v>你说的</v>
      </c>
    </row>
    <row r="44" spans="2:9" s="1" customFormat="1" ht="18" customHeight="1">
      <c r="B44" s="23">
        <v>14</v>
      </c>
      <c r="C44" s="24">
        <v>46266</v>
      </c>
      <c r="D44" s="25" t="s">
        <v>28</v>
      </c>
      <c r="E44" s="26">
        <v>-6500</v>
      </c>
      <c r="F44" s="25" t="s">
        <v>30</v>
      </c>
      <c r="G44" s="27" t="s">
        <v>31</v>
      </c>
      <c r="H44" s="28" t="str">
        <f>INDEX('明细'!$E$6:$E$72,B44)</f>
        <v>房租</v>
      </c>
      <c r="I44" s="29" t="str">
        <f>INDEX('明细'!$G$6:$G$72,B44)</f>
        <v>你说的</v>
      </c>
    </row>
    <row r="45" spans="2:9" s="1" customFormat="1" ht="18" customHeight="1">
      <c r="B45" s="23">
        <v>17</v>
      </c>
      <c r="C45" s="24">
        <v>46269</v>
      </c>
      <c r="D45" s="25" t="s">
        <v>69</v>
      </c>
      <c r="E45" s="26">
        <v>17600</v>
      </c>
      <c r="F45" s="25" t="s">
        <v>70</v>
      </c>
      <c r="G45" s="27" t="s">
        <v>31</v>
      </c>
      <c r="H45" s="28" t="str">
        <f>INDEX('明细'!$E$6:$E$72,B45)</f>
        <v>销售和服务收入</v>
      </c>
      <c r="I45" s="29" t="str">
        <f>INDEX('明细'!$G$6:$G$72,B45)</f>
        <v>你说的</v>
      </c>
    </row>
    <row r="46" spans="2:9" s="1" customFormat="1" ht="18" customHeight="1">
      <c r="B46" s="23">
        <v>18</v>
      </c>
      <c r="C46" s="24">
        <v>46271</v>
      </c>
      <c r="D46" s="25" t="s">
        <v>71</v>
      </c>
      <c r="E46" s="26">
        <v>-18600</v>
      </c>
      <c r="F46" s="25" t="s">
        <v>73</v>
      </c>
      <c r="G46" s="27" t="s">
        <v>31</v>
      </c>
      <c r="H46" s="28" t="str">
        <f>INDEX('明细'!$E$6:$E$72,B46)</f>
        <v>大额购置</v>
      </c>
      <c r="I46" s="29" t="str">
        <f>INDEX('明细'!$G$6:$G$72,B46)</f>
        <v>你说的</v>
      </c>
    </row>
    <row r="47" spans="2:9" s="1" customFormat="1" ht="18" customHeight="1">
      <c r="B47" s="23">
        <v>28</v>
      </c>
      <c r="C47" s="24">
        <v>46296</v>
      </c>
      <c r="D47" s="25" t="s">
        <v>28</v>
      </c>
      <c r="E47" s="26">
        <v>-6500</v>
      </c>
      <c r="F47" s="25" t="s">
        <v>30</v>
      </c>
      <c r="G47" s="27" t="s">
        <v>31</v>
      </c>
      <c r="H47" s="28" t="str">
        <f>INDEX('明细'!$E$6:$E$72,B47)</f>
        <v>房租</v>
      </c>
      <c r="I47" s="29" t="str">
        <f>INDEX('明细'!$G$6:$G$72,B47)</f>
        <v>你说的</v>
      </c>
    </row>
    <row r="48" spans="2:9" s="1" customFormat="1" ht="18" customHeight="1">
      <c r="B48" s="23">
        <v>29</v>
      </c>
      <c r="C48" s="24">
        <v>46298</v>
      </c>
      <c r="D48" s="25" t="s">
        <v>33</v>
      </c>
      <c r="E48" s="26">
        <v>11400</v>
      </c>
      <c r="F48" s="25" t="s">
        <v>35</v>
      </c>
      <c r="G48" s="27" t="s">
        <v>31</v>
      </c>
      <c r="H48" s="28" t="str">
        <f>INDEX('明细'!$E$6:$E$72,B48)</f>
        <v>销售和服务收入</v>
      </c>
      <c r="I48" s="29" t="str">
        <f>INDEX('明细'!$G$6:$G$72,B48)</f>
        <v>你说的</v>
      </c>
    </row>
    <row r="50" spans="2:9">
      <c r="B50" s="20" t="s">
        <v>174</v>
      </c>
    </row>
    <row r="51" spans="2:9">
      <c r="B51" s="4" t="s">
        <v>175</v>
      </c>
    </row>
    <row r="52" spans="2:9">
      <c r="B52" s="21" t="s">
        <v>3</v>
      </c>
      <c r="C52" s="21" t="s">
        <v>4</v>
      </c>
      <c r="D52" s="21" t="s">
        <v>5</v>
      </c>
      <c r="E52" s="22" t="s">
        <v>6</v>
      </c>
      <c r="F52" s="21" t="s">
        <v>170</v>
      </c>
      <c r="G52" s="21" t="s">
        <v>11</v>
      </c>
      <c r="H52" s="21" t="s">
        <v>171</v>
      </c>
      <c r="I52" s="21" t="s">
        <v>9</v>
      </c>
    </row>
    <row r="53" spans="2:9" s="1" customFormat="1" ht="18" customHeight="1">
      <c r="B53" s="23">
        <v>8</v>
      </c>
      <c r="C53" s="24">
        <v>46246</v>
      </c>
      <c r="D53" s="25" t="s">
        <v>51</v>
      </c>
      <c r="E53" s="26">
        <v>-12</v>
      </c>
      <c r="F53" s="25" t="s">
        <v>53</v>
      </c>
      <c r="G53" s="27" t="s">
        <v>31</v>
      </c>
      <c r="H53" s="28" t="str">
        <f>INDEX('明细'!$E$6:$E$72,B53)</f>
        <v>银行和平台手续费</v>
      </c>
      <c r="I53" s="29" t="str">
        <f>INDEX('明细'!$G$6:$G$72,B53)</f>
        <v>我们的猜测，没核对</v>
      </c>
    </row>
    <row r="54" spans="2:9" s="1" customFormat="1" ht="18" customHeight="1">
      <c r="B54" s="23">
        <v>21</v>
      </c>
      <c r="C54" s="24">
        <v>46277</v>
      </c>
      <c r="D54" s="25" t="s">
        <v>77</v>
      </c>
      <c r="E54" s="26">
        <v>-600</v>
      </c>
      <c r="F54" s="25" t="s">
        <v>79</v>
      </c>
      <c r="G54" s="27" t="s">
        <v>31</v>
      </c>
      <c r="H54" s="28" t="str">
        <f>INDEX('明细'!$E$6:$E$72,B54)</f>
        <v>会计和法律</v>
      </c>
      <c r="I54" s="29" t="str">
        <f>INDEX('明细'!$G$6:$G$72,B54)</f>
        <v>我们的猜测，没核对</v>
      </c>
    </row>
    <row r="55" spans="2:9" s="1" customFormat="1" ht="18" customHeight="1">
      <c r="B55" s="23">
        <v>23</v>
      </c>
      <c r="C55" s="24">
        <v>46283</v>
      </c>
      <c r="D55" s="25" t="s">
        <v>80</v>
      </c>
      <c r="E55" s="26">
        <v>-28</v>
      </c>
      <c r="F55" s="25" t="s">
        <v>82</v>
      </c>
      <c r="G55" s="27" t="s">
        <v>31</v>
      </c>
      <c r="H55" s="28" t="str">
        <f>INDEX('明细'!$E$6:$E$72,B55)</f>
        <v>办公用品</v>
      </c>
      <c r="I55" s="29" t="str">
        <f>INDEX('明细'!$G$6:$G$72,B55)</f>
        <v>我们的猜测，没核对</v>
      </c>
    </row>
    <row r="56" spans="2:9" s="1" customFormat="1" ht="18" customHeight="1">
      <c r="B56" s="23">
        <v>27</v>
      </c>
      <c r="C56" s="24">
        <v>46293</v>
      </c>
      <c r="D56" s="25" t="s">
        <v>51</v>
      </c>
      <c r="E56" s="26">
        <v>-12</v>
      </c>
      <c r="F56" s="25" t="s">
        <v>53</v>
      </c>
      <c r="G56" s="27" t="s">
        <v>31</v>
      </c>
      <c r="H56" s="28" t="str">
        <f>INDEX('明细'!$E$6:$E$72,B56)</f>
        <v>银行和平台手续费</v>
      </c>
      <c r="I56" s="29" t="str">
        <f>INDEX('明细'!$G$6:$G$72,B56)</f>
        <v>我们的猜测，没核对</v>
      </c>
    </row>
    <row r="57" spans="2:9" s="1" customFormat="1" ht="18" customHeight="1">
      <c r="B57" s="23">
        <v>37</v>
      </c>
      <c r="C57" s="24">
        <v>46325</v>
      </c>
      <c r="D57" s="25" t="s">
        <v>97</v>
      </c>
      <c r="E57" s="26">
        <v>12.5</v>
      </c>
      <c r="F57" s="25" t="s">
        <v>99</v>
      </c>
      <c r="G57" s="27" t="s">
        <v>31</v>
      </c>
      <c r="H57" s="28" t="str">
        <f>INDEX('明细'!$E$6:$E$72,B57)</f>
        <v>利息收入</v>
      </c>
      <c r="I57" s="29" t="str">
        <f>INDEX('明细'!$G$6:$G$72,B57)</f>
        <v>我们的猜测，没核对</v>
      </c>
    </row>
    <row r="59" spans="2:9">
      <c r="B59" s="20" t="s">
        <v>176</v>
      </c>
    </row>
    <row r="60" spans="2:9" s="1" customFormat="1" ht="33.75" customHeight="1">
      <c r="B60" s="30" t="s">
        <v>177</v>
      </c>
      <c r="C60" s="30"/>
      <c r="D60" s="30"/>
      <c r="E60" s="30"/>
      <c r="F60" s="30"/>
      <c r="G60" s="30"/>
      <c r="H60" s="30"/>
      <c r="I60" s="30"/>
    </row>
    <row r="61" spans="2:9">
      <c r="B61" s="31" t="s">
        <v>3</v>
      </c>
      <c r="C61" s="31" t="s">
        <v>178</v>
      </c>
      <c r="D61" s="31" t="s">
        <v>179</v>
      </c>
      <c r="E61" s="22" t="s">
        <v>6</v>
      </c>
    </row>
    <row r="62" spans="2:9">
      <c r="B62" s="32" t="s">
        <v>180</v>
      </c>
      <c r="C62" s="32"/>
      <c r="D62" s="32"/>
      <c r="E62" s="33">
        <v>9000</v>
      </c>
    </row>
    <row r="63" spans="2:9">
      <c r="B63" s="34">
        <v>11</v>
      </c>
      <c r="C63" s="35">
        <v>17</v>
      </c>
      <c r="D63" s="1" t="s">
        <v>60</v>
      </c>
      <c r="E63" s="36">
        <v>5200</v>
      </c>
    </row>
    <row r="64" spans="2:9">
      <c r="B64" s="34">
        <v>34</v>
      </c>
      <c r="C64" s="35">
        <v>46</v>
      </c>
      <c r="D64" s="1" t="s">
        <v>60</v>
      </c>
      <c r="E64" s="36">
        <v>3800</v>
      </c>
    </row>
    <row r="65" spans="2:5">
      <c r="B65" s="32" t="s">
        <v>181</v>
      </c>
      <c r="C65" s="32"/>
      <c r="D65" s="32"/>
      <c r="E65" s="33">
        <v>-686.4</v>
      </c>
    </row>
    <row r="66" spans="2:5">
      <c r="B66" s="34">
        <v>7</v>
      </c>
      <c r="C66" s="35">
        <v>13</v>
      </c>
      <c r="D66" s="1" t="s">
        <v>49</v>
      </c>
      <c r="E66" s="36">
        <v>-686.4</v>
      </c>
    </row>
    <row r="67" spans="2:5">
      <c r="B67" s="32" t="s">
        <v>182</v>
      </c>
      <c r="C67" s="32"/>
      <c r="D67" s="32"/>
      <c r="E67" s="33">
        <v>-18600</v>
      </c>
    </row>
    <row r="68" spans="2:5">
      <c r="B68" s="34">
        <v>18</v>
      </c>
      <c r="C68" s="35">
        <v>27</v>
      </c>
      <c r="D68" s="1" t="s">
        <v>71</v>
      </c>
      <c r="E68" s="36">
        <v>-18600</v>
      </c>
    </row>
    <row r="69" spans="2:5">
      <c r="B69" s="32" t="s">
        <v>183</v>
      </c>
      <c r="C69" s="32"/>
      <c r="D69" s="32"/>
      <c r="E69" s="33">
        <v>-19500</v>
      </c>
    </row>
    <row r="70" spans="2:5">
      <c r="B70" s="34">
        <v>1</v>
      </c>
      <c r="C70" s="35">
        <v>7</v>
      </c>
      <c r="D70" s="1" t="s">
        <v>28</v>
      </c>
      <c r="E70" s="36">
        <v>-6500</v>
      </c>
    </row>
    <row r="71" spans="2:5">
      <c r="B71" s="34">
        <v>14</v>
      </c>
      <c r="C71" s="35">
        <v>23</v>
      </c>
      <c r="D71" s="1" t="s">
        <v>28</v>
      </c>
      <c r="E71" s="36">
        <v>-6500</v>
      </c>
    </row>
    <row r="72" spans="2:5">
      <c r="B72" s="34">
        <v>28</v>
      </c>
      <c r="C72" s="35">
        <v>40</v>
      </c>
      <c r="D72" s="1" t="s">
        <v>28</v>
      </c>
      <c r="E72" s="36">
        <v>-6500</v>
      </c>
    </row>
    <row r="73" spans="2:5">
      <c r="B73" s="32" t="s">
        <v>184</v>
      </c>
      <c r="C73" s="32"/>
      <c r="D73" s="32"/>
      <c r="E73" s="33">
        <v>-387</v>
      </c>
    </row>
    <row r="74" spans="2:5">
      <c r="B74" s="34">
        <v>9</v>
      </c>
      <c r="C74" s="35">
        <v>15</v>
      </c>
      <c r="D74" s="1" t="s">
        <v>55</v>
      </c>
      <c r="E74" s="36">
        <v>-129</v>
      </c>
    </row>
    <row r="75" spans="2:5">
      <c r="B75" s="34">
        <v>22</v>
      </c>
      <c r="C75" s="35">
        <v>31</v>
      </c>
      <c r="D75" s="1" t="s">
        <v>55</v>
      </c>
      <c r="E75" s="36">
        <v>-129</v>
      </c>
    </row>
    <row r="76" spans="2:5">
      <c r="B76" s="34">
        <v>33</v>
      </c>
      <c r="C76" s="35">
        <v>45</v>
      </c>
      <c r="D76" s="1" t="s">
        <v>55</v>
      </c>
      <c r="E76" s="36">
        <v>-129</v>
      </c>
    </row>
    <row r="77" spans="2:5">
      <c r="B77" s="32" t="s">
        <v>185</v>
      </c>
      <c r="C77" s="32"/>
      <c r="D77" s="32"/>
      <c r="E77" s="33">
        <v>-980</v>
      </c>
    </row>
    <row r="78" spans="2:5">
      <c r="B78" s="34">
        <v>12</v>
      </c>
      <c r="C78" s="35">
        <v>18</v>
      </c>
      <c r="D78" s="1" t="s">
        <v>62</v>
      </c>
      <c r="E78" s="36">
        <v>-980</v>
      </c>
    </row>
    <row r="79" spans="2:5">
      <c r="B79" s="32" t="s">
        <v>186</v>
      </c>
      <c r="C79" s="32"/>
      <c r="D79" s="32"/>
      <c r="E79" s="33">
        <v>-5040</v>
      </c>
    </row>
    <row r="80" spans="2:5">
      <c r="B80" s="34">
        <v>3</v>
      </c>
      <c r="C80" s="35">
        <v>9</v>
      </c>
      <c r="D80" s="1" t="s">
        <v>36</v>
      </c>
      <c r="E80" s="36">
        <v>-2380</v>
      </c>
    </row>
    <row r="81" spans="2:5">
      <c r="B81" s="34">
        <v>15</v>
      </c>
      <c r="C81" s="35">
        <v>24</v>
      </c>
      <c r="D81" s="1" t="s">
        <v>36</v>
      </c>
      <c r="E81" s="36">
        <v>-3120</v>
      </c>
    </row>
    <row r="82" spans="2:5">
      <c r="B82" s="34">
        <v>16</v>
      </c>
      <c r="C82" s="35">
        <v>25</v>
      </c>
      <c r="D82" s="1" t="s">
        <v>68</v>
      </c>
      <c r="E82" s="36">
        <v>460</v>
      </c>
    </row>
    <row r="83" spans="2:5">
      <c r="B83" s="32" t="s">
        <v>187</v>
      </c>
      <c r="C83" s="32"/>
      <c r="D83" s="32"/>
      <c r="E83" s="33">
        <v>-680</v>
      </c>
    </row>
    <row r="84" spans="2:5">
      <c r="B84" s="34">
        <v>13</v>
      </c>
      <c r="C84" s="35">
        <v>19</v>
      </c>
      <c r="D84" s="1" t="s">
        <v>65</v>
      </c>
      <c r="E84" s="36">
        <v>-680</v>
      </c>
    </row>
    <row r="85" spans="2:5">
      <c r="B85" s="32" t="s">
        <v>188</v>
      </c>
      <c r="C85" s="32"/>
      <c r="D85" s="32"/>
      <c r="E85" s="33">
        <v>-4200</v>
      </c>
    </row>
    <row r="86" spans="2:5">
      <c r="B86" s="34">
        <v>25</v>
      </c>
      <c r="C86" s="35">
        <v>34</v>
      </c>
      <c r="D86" s="1" t="s">
        <v>84</v>
      </c>
      <c r="E86" s="36">
        <v>-4200</v>
      </c>
    </row>
    <row r="87" spans="2:5">
      <c r="B87" s="32" t="s">
        <v>189</v>
      </c>
      <c r="C87" s="32"/>
      <c r="D87" s="32"/>
      <c r="E87" s="33">
        <v>24200</v>
      </c>
    </row>
    <row r="88" spans="2:5">
      <c r="B88" s="34">
        <v>2</v>
      </c>
      <c r="C88" s="35">
        <v>8</v>
      </c>
      <c r="D88" s="1" t="s">
        <v>33</v>
      </c>
      <c r="E88" s="36">
        <v>12800</v>
      </c>
    </row>
    <row r="89" spans="2:5">
      <c r="B89" s="34">
        <v>29</v>
      </c>
      <c r="C89" s="35">
        <v>41</v>
      </c>
      <c r="D89" s="1" t="s">
        <v>33</v>
      </c>
      <c r="E89" s="36">
        <v>11400</v>
      </c>
    </row>
    <row r="90" spans="2:5">
      <c r="B90" s="32" t="s">
        <v>190</v>
      </c>
      <c r="C90" s="32"/>
      <c r="D90" s="32"/>
      <c r="E90" s="33">
        <v>17600</v>
      </c>
    </row>
    <row r="91" spans="2:5">
      <c r="B91" s="34">
        <v>17</v>
      </c>
      <c r="C91" s="35">
        <v>26</v>
      </c>
      <c r="D91" s="1" t="s">
        <v>69</v>
      </c>
      <c r="E91" s="36">
        <v>17600</v>
      </c>
    </row>
    <row r="92" spans="2:5">
      <c r="B92" s="32" t="s">
        <v>191</v>
      </c>
      <c r="C92" s="32"/>
      <c r="D92" s="32"/>
      <c r="E92" s="33">
        <v>-9000</v>
      </c>
    </row>
    <row r="93" spans="2:5">
      <c r="B93" s="34">
        <v>5</v>
      </c>
      <c r="C93" s="35">
        <v>11</v>
      </c>
      <c r="D93" s="1" t="s">
        <v>43</v>
      </c>
      <c r="E93" s="36">
        <v>-5000</v>
      </c>
    </row>
    <row r="94" spans="2:5">
      <c r="B94" s="34">
        <v>32</v>
      </c>
      <c r="C94" s="35">
        <v>44</v>
      </c>
      <c r="D94" s="1" t="s">
        <v>43</v>
      </c>
      <c r="E94" s="36">
        <v>-4000</v>
      </c>
    </row>
    <row r="96" spans="2:5">
      <c r="B96" s="20" t="s">
        <v>192</v>
      </c>
    </row>
    <row r="97" spans="2:9" s="1" customFormat="1" ht="18" customHeight="1">
      <c r="B97" s="9" t="s">
        <v>177</v>
      </c>
      <c r="C97" s="9"/>
      <c r="D97" s="9"/>
      <c r="E97" s="9"/>
      <c r="F97" s="9"/>
      <c r="G97" s="9"/>
      <c r="H97" s="9"/>
      <c r="I97" s="9"/>
    </row>
    <row r="98" spans="2:9" s="1" customFormat="1" ht="18" customHeight="1">
      <c r="B98" s="9" t="s">
        <v>193</v>
      </c>
      <c r="C98" s="9"/>
      <c r="D98" s="9"/>
      <c r="E98" s="9"/>
      <c r="F98" s="9"/>
      <c r="G98" s="9"/>
      <c r="H98" s="9"/>
      <c r="I98" s="9"/>
    </row>
  </sheetData>
  <mergeCells count="35">
    <mergeCell ref="B6:I6"/>
    <mergeCell ref="B7:I7"/>
    <mergeCell ref="B8:I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F9:I11"/>
    <mergeCell ref="F12:I15"/>
    <mergeCell ref="F16:I18"/>
    <mergeCell ref="F19:I21"/>
    <mergeCell ref="B60:I60"/>
    <mergeCell ref="B62:D62"/>
    <mergeCell ref="B65:D65"/>
    <mergeCell ref="B67:D67"/>
    <mergeCell ref="B69:D69"/>
    <mergeCell ref="B73:D73"/>
    <mergeCell ref="B77:D77"/>
    <mergeCell ref="B79:D79"/>
    <mergeCell ref="B83:D83"/>
    <mergeCell ref="B85:D85"/>
    <mergeCell ref="B87:D87"/>
    <mergeCell ref="B90:D90"/>
    <mergeCell ref="B92:D92"/>
    <mergeCell ref="B97:I97"/>
    <mergeCell ref="B98:I98"/>
  </mergeCells>
  <conditionalFormatting sqref="B6:I6">
    <cfRule type="expression" dxfId="12" priority="1">
      <formula>ss_fail&gt;0</formula>
    </cfRule>
    <cfRule type="expression" dxfId="0" priority="2">
      <formula>AND(ss_fail=0,ss_undecided_n&gt;0)</formula>
    </cfRule>
    <cfRule type="expression" dxfId="2" priority="3">
      <formula>AND(ss_fail=0,ss_undecided_n=0,ss_guess_n=0,ss_cannot=0,ss_edits=0)</formula>
    </cfRule>
  </conditionalFormatting>
  <conditionalFormatting sqref="B9:E9">
    <cfRule type="expression" dxfId="9" priority="4">
      <formula>ss_undecided_n&gt;0</formula>
    </cfRule>
  </conditionalFormatting>
  <conditionalFormatting sqref="B26:I36">
    <cfRule type="expression" dxfId="13" priority="5">
      <formula>$I26="待你决定"</formula>
    </cfRule>
    <cfRule type="expression" dxfId="14" priority="6">
      <formula>$I26="你定的"</formula>
    </cfRule>
  </conditionalFormatting>
  <conditionalFormatting sqref="B40:I48">
    <cfRule type="expression" dxfId="13" priority="7">
      <formula>$I40="待你决定"</formula>
    </cfRule>
    <cfRule type="expression" dxfId="14" priority="8">
      <formula>$I40="你定的"</formula>
    </cfRule>
  </conditionalFormatting>
  <conditionalFormatting sqref="B53:I57">
    <cfRule type="expression" dxfId="13" priority="9">
      <formula>$I53="待你决定"</formula>
    </cfRule>
    <cfRule type="expression" dxfId="14" priority="10">
      <formula>$I53="你定的"</formula>
    </cfRule>
  </conditionalFormatting>
  <pageMargins left="0.4" right="0.4" top="0.45" bottom="0.4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346C7"/>
    <pageSetUpPr fitToPage="1"/>
  </sheetPr>
  <dimension ref="A2:AE72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5"/>
  <cols>
    <col min="1" max="1" width="6.7109375" style="1" customWidth="1"/>
    <col min="2" max="2" width="12.7109375" style="1" customWidth="1"/>
    <col min="3" max="3" width="44.7109375" style="1" customWidth="1"/>
    <col min="4" max="4" width="13.7109375" style="1" customWidth="1"/>
    <col min="5" max="5" width="28.7109375" style="1" customWidth="1"/>
    <col min="6" max="6" width="9.7109375" style="1" customWidth="1"/>
    <col min="7" max="7" width="22.7109375" style="1" customWidth="1"/>
    <col min="8" max="8" width="62.7109375" style="1" customWidth="1"/>
    <col min="9" max="9" width="24.7109375" style="1" customWidth="1"/>
    <col min="10" max="10" width="13.7109375" style="1" customWidth="1"/>
    <col min="11" max="11" width="8.7109375" style="1" customWidth="1"/>
    <col min="12" max="12" width="12.7109375" style="1" customWidth="1"/>
    <col min="13" max="25" width="10.7109375" style="1" hidden="1" customWidth="1"/>
    <col min="26" max="31" width="9.7109375" style="1" customWidth="1"/>
  </cols>
  <sheetData>
    <row r="2" spans="1:25" s="1" customFormat="1" ht="27.75" customHeight="1">
      <c r="A2" s="37" t="s">
        <v>0</v>
      </c>
    </row>
    <row r="3" spans="1:25">
      <c r="A3" s="4" t="s">
        <v>1</v>
      </c>
    </row>
    <row r="4" spans="1:25">
      <c r="A4" s="5" t="s">
        <v>2</v>
      </c>
    </row>
    <row r="5" spans="1:25" s="1" customFormat="1" ht="44.25" customHeight="1">
      <c r="A5" s="38" t="s">
        <v>3</v>
      </c>
      <c r="B5" s="38" t="s">
        <v>4</v>
      </c>
      <c r="C5" s="38" t="s">
        <v>5</v>
      </c>
      <c r="D5" s="38" t="s">
        <v>6</v>
      </c>
      <c r="E5" s="38" t="s">
        <v>7</v>
      </c>
      <c r="F5" s="38" t="s">
        <v>8</v>
      </c>
      <c r="G5" s="38" t="s">
        <v>9</v>
      </c>
      <c r="H5" s="38" t="s">
        <v>10</v>
      </c>
      <c r="I5" s="38" t="s">
        <v>11</v>
      </c>
      <c r="J5" s="38" t="s">
        <v>12</v>
      </c>
      <c r="K5" s="38" t="s">
        <v>13</v>
      </c>
      <c r="L5" s="38" t="s">
        <v>14</v>
      </c>
      <c r="M5" s="38" t="s">
        <v>15</v>
      </c>
      <c r="N5" s="38" t="s">
        <v>16</v>
      </c>
      <c r="O5" s="38" t="s">
        <v>17</v>
      </c>
      <c r="P5" s="38" t="s">
        <v>18</v>
      </c>
      <c r="Q5" s="38" t="s">
        <v>19</v>
      </c>
      <c r="R5" s="38" t="s">
        <v>20</v>
      </c>
      <c r="S5" s="38" t="s">
        <v>21</v>
      </c>
      <c r="T5" s="38" t="s">
        <v>22</v>
      </c>
      <c r="U5" s="38" t="s">
        <v>23</v>
      </c>
      <c r="V5" s="38" t="s">
        <v>24</v>
      </c>
      <c r="W5" s="38" t="s">
        <v>25</v>
      </c>
      <c r="X5" s="38" t="s">
        <v>26</v>
      </c>
      <c r="Y5" s="38" t="s">
        <v>27</v>
      </c>
    </row>
    <row r="6" spans="1:25">
      <c r="A6" s="39">
        <v>1</v>
      </c>
      <c r="B6" s="40">
        <v>46235</v>
      </c>
      <c r="C6" s="41" t="s">
        <v>28</v>
      </c>
      <c r="D6" s="42">
        <v>-6500</v>
      </c>
      <c r="E6" s="43" t="s">
        <v>29</v>
      </c>
      <c r="F6" s="44"/>
      <c r="G6" s="41" t="str">
        <f>IF(AND(E6="",D6=""),"",IF(OR(E6="",E6='分类汇总'!$C$6),"待你决定",IF(E6&lt;&gt;O6,"你定的",IF(F6&lt;&gt;"","你核对过",P6))))</f>
        <v>你说的</v>
      </c>
      <c r="H6" s="45" t="s">
        <v>30</v>
      </c>
      <c r="I6" s="45" t="s">
        <v>31</v>
      </c>
      <c r="J6" s="46">
        <v>17060.4</v>
      </c>
      <c r="K6" s="39">
        <v>7</v>
      </c>
      <c r="L6" s="47" t="s">
        <v>31</v>
      </c>
      <c r="M6" s="1">
        <f>IF(B6="","",DATE(YEAR(B6),MONTH(B6),1))</f>
        <v>46235.0</v>
      </c>
      <c r="N6" s="1" t="str">
        <f>IF(D6="","",IF(E6="",'分类汇总'!$B$6,IFERROR(INDEX('分类汇总'!$B$6:$B$31,MATCH(E6,'分类汇总'!$C$6:$C$31,0)),"none")))</f>
        <v>支出</v>
      </c>
      <c r="O6" s="1" t="s">
        <v>29</v>
      </c>
      <c r="P6" s="1" t="s">
        <v>32</v>
      </c>
      <c r="Q6" s="1">
        <f>IF(AND(J6&lt;&gt;"",N6&lt;&gt;'分类汇总'!$B$28),J6,'核对'!$C$8)</f>
        <v>17060.4</v>
      </c>
      <c r="R6" s="1">
        <f>IF(OR(J6="",D6="",N6='分类汇总'!$B$28,'核对'!$C$8=""),0,IF(ABS('核对'!$C$8+D6-J6)&gt;0.005,1,0))</f>
        <v>0.0</v>
      </c>
      <c r="T6" s="1" t="str">
        <f>IF(R6=1,'核对'!$C$8+D6,"")</f>
        <v/>
      </c>
      <c r="V6" s="1">
        <f>IF(D6="",1,IF(OR(ABS(D6-'读到的原样'!$A$6)&gt;0.005,B6&lt;&gt;'读到的原样'!$B$6),1,0))</f>
        <v>0.0</v>
      </c>
      <c r="W6" s="1">
        <f>IF(J6="",IF('读到的原样'!$C$6="",0,1),IF('读到的原样'!$C$6="",1,IF(ABS(J6-'读到的原样'!$C$6)&gt;0.005,1,0)))</f>
        <v>0.0</v>
      </c>
      <c r="X6" s="1">
        <f>IF(AND(N6='分类汇总'!$B$28,O6&lt;&gt;E6),1,0)</f>
        <v>0.0</v>
      </c>
      <c r="Y6" s="1">
        <f>IF(AND(U6=1,N6&lt;&gt;"借贷款项",N6&lt;&gt;'分类汇总'!$B$28,N6&lt;&gt;"未决定"),1,0)</f>
        <v>0.0</v>
      </c>
    </row>
    <row r="7" spans="1:25">
      <c r="A7" s="39">
        <v>2</v>
      </c>
      <c r="B7" s="40">
        <v>46237</v>
      </c>
      <c r="C7" s="41" t="s">
        <v>33</v>
      </c>
      <c r="D7" s="42">
        <v>12800</v>
      </c>
      <c r="E7" s="43" t="s">
        <v>34</v>
      </c>
      <c r="F7" s="44"/>
      <c r="G7" s="41" t="str">
        <f>IF(AND(E7="",D7=""),"",IF(OR(E7="",E7='分类汇总'!$C$6),"待你决定",IF(E7&lt;&gt;O7,"你定的",IF(F7&lt;&gt;"","你核对过",P7))))</f>
        <v>你说的</v>
      </c>
      <c r="H7" s="45" t="s">
        <v>35</v>
      </c>
      <c r="I7" s="45" t="s">
        <v>31</v>
      </c>
      <c r="J7" s="46">
        <v>29860.4</v>
      </c>
      <c r="K7" s="39">
        <v>8</v>
      </c>
      <c r="L7" s="47" t="s">
        <v>31</v>
      </c>
      <c r="M7" s="1">
        <f>IF(B7="","",DATE(YEAR(B7),MONTH(B7),1))</f>
        <v>46235.0</v>
      </c>
      <c r="N7" s="1" t="str">
        <f>IF(D7="","",IF(E7="",'分类汇总'!$B$6,IFERROR(INDEX('分类汇总'!$B$6:$B$31,MATCH(E7,'分类汇总'!$C$6:$C$31,0)),"none")))</f>
        <v>收入</v>
      </c>
      <c r="O7" s="1" t="s">
        <v>34</v>
      </c>
      <c r="P7" s="1" t="s">
        <v>32</v>
      </c>
      <c r="Q7" s="1">
        <f>IF(AND(J7&lt;&gt;"",N7&lt;&gt;'分类汇总'!$B$28),J7,Q6)</f>
        <v>29860.4</v>
      </c>
      <c r="R7" s="1">
        <f>IF(OR(J7="",D7="",N7='分类汇总'!$B$28,Q6=""),0,IF(ABS(Q6+D7-J7)&gt;0.005,1,0))</f>
        <v>0.0</v>
      </c>
      <c r="T7" s="1" t="str">
        <f>IF(R7=1,Q6+D7,"")</f>
        <v/>
      </c>
      <c r="V7" s="1">
        <f>IF(D7="",1,IF(OR(ABS(D7-'读到的原样'!$A$7)&gt;0.005,B7&lt;&gt;'读到的原样'!$B$7),1,0))</f>
        <v>0.0</v>
      </c>
      <c r="W7" s="1">
        <f>IF(J7="",IF('读到的原样'!$C$7="",0,1),IF('读到的原样'!$C$7="",1,IF(ABS(J7-'读到的原样'!$C$7)&gt;0.005,1,0)))</f>
        <v>0.0</v>
      </c>
      <c r="X7" s="1">
        <f>IF(AND(N7='分类汇总'!$B$28,O7&lt;&gt;E7),1,0)</f>
        <v>0.0</v>
      </c>
      <c r="Y7" s="1">
        <f>IF(AND(U7=1,N7&lt;&gt;"借贷款项",N7&lt;&gt;'分类汇总'!$B$28,N7&lt;&gt;"未决定"),1,0)</f>
        <v>0.0</v>
      </c>
    </row>
    <row r="8" spans="1:25">
      <c r="A8" s="39">
        <v>3</v>
      </c>
      <c r="B8" s="40">
        <v>46238</v>
      </c>
      <c r="C8" s="41" t="s">
        <v>36</v>
      </c>
      <c r="D8" s="42">
        <v>-2380</v>
      </c>
      <c r="E8" s="43" t="s">
        <v>37</v>
      </c>
      <c r="F8" s="44"/>
      <c r="G8" s="41" t="str">
        <f>IF(AND(E8="",D8=""),"",IF(OR(E8="",E8='分类汇总'!$C$6),"待你决定",IF(E8&lt;&gt;O8,"你定的",IF(F8&lt;&gt;"","你核对过",P8))))</f>
        <v>你说的</v>
      </c>
      <c r="H8" s="45" t="s">
        <v>38</v>
      </c>
      <c r="I8" s="45" t="s">
        <v>31</v>
      </c>
      <c r="J8" s="46">
        <v>27480.4</v>
      </c>
      <c r="K8" s="39">
        <v>9</v>
      </c>
      <c r="L8" s="47" t="s">
        <v>31</v>
      </c>
      <c r="M8" s="1">
        <f>IF(B8="","",DATE(YEAR(B8),MONTH(B8),1))</f>
        <v>46235.0</v>
      </c>
      <c r="N8" s="1" t="str">
        <f>IF(D8="","",IF(E8="",'分类汇总'!$B$6,IFERROR(INDEX('分类汇总'!$B$6:$B$31,MATCH(E8,'分类汇总'!$C$6:$C$31,0)),"none")))</f>
        <v>支出</v>
      </c>
      <c r="O8" s="1" t="s">
        <v>37</v>
      </c>
      <c r="P8" s="1" t="s">
        <v>32</v>
      </c>
      <c r="Q8" s="1">
        <f>IF(AND(J8&lt;&gt;"",N8&lt;&gt;'分类汇总'!$B$28),J8,Q7)</f>
        <v>27480.4</v>
      </c>
      <c r="R8" s="1">
        <f>IF(OR(J8="",D8="",N8='分类汇总'!$B$28,Q7=""),0,IF(ABS(Q7+D8-J8)&gt;0.005,1,0))</f>
        <v>0.0</v>
      </c>
      <c r="T8" s="1" t="str">
        <f>IF(R8=1,Q7+D8,"")</f>
        <v/>
      </c>
      <c r="V8" s="1">
        <f>IF(D8="",1,IF(OR(ABS(D8-'读到的原样'!$A$8)&gt;0.005,B8&lt;&gt;'读到的原样'!$B$8),1,0))</f>
        <v>0.0</v>
      </c>
      <c r="W8" s="1">
        <f>IF(J8="",IF('读到的原样'!$C$8="",0,1),IF('读到的原样'!$C$8="",1,IF(ABS(J8-'读到的原样'!$C$8)&gt;0.005,1,0)))</f>
        <v>0.0</v>
      </c>
      <c r="X8" s="1">
        <f>IF(AND(N8='分类汇总'!$B$28,O8&lt;&gt;E8),1,0)</f>
        <v>0.0</v>
      </c>
      <c r="Y8" s="1">
        <f>IF(AND(U8=1,N8&lt;&gt;"借贷款项",N8&lt;&gt;'分类汇总'!$B$28,N8&lt;&gt;"未决定"),1,0)</f>
        <v>0.0</v>
      </c>
    </row>
    <row r="9" spans="1:25">
      <c r="A9" s="39">
        <v>4</v>
      </c>
      <c r="B9" s="40">
        <v>46239</v>
      </c>
      <c r="C9" s="41" t="s">
        <v>39</v>
      </c>
      <c r="D9" s="42">
        <v>-412.3</v>
      </c>
      <c r="E9" s="43" t="s">
        <v>40</v>
      </c>
      <c r="F9" s="44"/>
      <c r="G9" s="41" t="str">
        <f>IF(AND(E9="",D9=""),"",IF(OR(E9="",E9='分类汇总'!$C$6),"待你决定",IF(E9&lt;&gt;O9,"你定的",IF(F9&lt;&gt;"","你核对过",P9))))</f>
        <v>待你决定</v>
      </c>
      <c r="H9" s="45" t="s">
        <v>41</v>
      </c>
      <c r="I9" s="45" t="s">
        <v>42</v>
      </c>
      <c r="J9" s="46">
        <v>27068.1</v>
      </c>
      <c r="K9" s="39">
        <v>10</v>
      </c>
      <c r="L9" s="47" t="s">
        <v>31</v>
      </c>
      <c r="M9" s="1">
        <f>IF(B9="","",DATE(YEAR(B9),MONTH(B9),1))</f>
        <v>46235.0</v>
      </c>
      <c r="N9" s="1" t="str">
        <f>IF(D9="","",IF(E9="",'分类汇总'!$B$6,IFERROR(INDEX('分类汇总'!$B$6:$B$31,MATCH(E9,'分类汇总'!$C$6:$C$31,0)),"none")))</f>
        <v>未决定</v>
      </c>
      <c r="O9" s="1" t="s">
        <v>40</v>
      </c>
      <c r="P9" s="1" t="s">
        <v>31</v>
      </c>
      <c r="Q9" s="1">
        <f>IF(AND(J9&lt;&gt;"",N9&lt;&gt;'分类汇总'!$B$28),J9,Q8)</f>
        <v>27068.1</v>
      </c>
      <c r="R9" s="1">
        <f>IF(OR(J9="",D9="",N9='分类汇总'!$B$28,Q8=""),0,IF(ABS(Q8+D9-J9)&gt;0.005,1,0))</f>
        <v>0.0</v>
      </c>
      <c r="T9" s="1" t="str">
        <f>IF(R9=1,Q8+D9,"")</f>
        <v/>
      </c>
      <c r="V9" s="1">
        <f>IF(D9="",1,IF(OR(ABS(D9-'读到的原样'!$A$9)&gt;0.005,B9&lt;&gt;'读到的原样'!$B$9),1,0))</f>
        <v>0.0</v>
      </c>
      <c r="W9" s="1">
        <f>IF(J9="",IF('读到的原样'!$C$9="",0,1),IF('读到的原样'!$C$9="",1,IF(ABS(J9-'读到的原样'!$C$9)&gt;0.005,1,0)))</f>
        <v>0.0</v>
      </c>
      <c r="X9" s="1">
        <f>IF(AND(N9='分类汇总'!$B$28,O9&lt;&gt;E9),1,0)</f>
        <v>0.0</v>
      </c>
      <c r="Y9" s="1">
        <f>IF(AND(U9=1,N9&lt;&gt;"借贷款项",N9&lt;&gt;'分类汇总'!$B$28,N9&lt;&gt;"未决定"),1,0)</f>
        <v>0.0</v>
      </c>
    </row>
    <row r="10" spans="1:25">
      <c r="A10" s="39">
        <v>5</v>
      </c>
      <c r="B10" s="40">
        <v>46241</v>
      </c>
      <c r="C10" s="41" t="s">
        <v>43</v>
      </c>
      <c r="D10" s="42">
        <v>-5000</v>
      </c>
      <c r="E10" s="43" t="s">
        <v>44</v>
      </c>
      <c r="F10" s="44"/>
      <c r="G10" s="41" t="str">
        <f>IF(AND(E10="",D10=""),"",IF(OR(E10="",E10='分类汇总'!$C$6),"待你决定",IF(E10&lt;&gt;O10,"你定的",IF(F10&lt;&gt;"","你核对过",P10))))</f>
        <v>你说的</v>
      </c>
      <c r="H10" s="45" t="s">
        <v>45</v>
      </c>
      <c r="I10" s="45" t="s">
        <v>31</v>
      </c>
      <c r="J10" s="46">
        <v>22068.1</v>
      </c>
      <c r="K10" s="39">
        <v>11</v>
      </c>
      <c r="L10" s="47" t="s">
        <v>31</v>
      </c>
      <c r="M10" s="1">
        <f>IF(B10="","",DATE(YEAR(B10),MONTH(B10),1))</f>
        <v>46235.0</v>
      </c>
      <c r="N10" s="1" t="str">
        <f>IF(D10="","",IF(E10="",'分类汇总'!$B$6,IFERROR(INDEX('分类汇总'!$B$6:$B$31,MATCH(E10,'分类汇总'!$C$6:$C$31,0)),"none")))</f>
        <v>自己账户之间转账</v>
      </c>
      <c r="O10" s="1" t="s">
        <v>44</v>
      </c>
      <c r="P10" s="1" t="s">
        <v>32</v>
      </c>
      <c r="Q10" s="1">
        <f>IF(AND(J10&lt;&gt;"",N10&lt;&gt;'分类汇总'!$B$28),J10,Q9)</f>
        <v>22068.1</v>
      </c>
      <c r="R10" s="1">
        <f>IF(OR(J10="",D10="",N10='分类汇总'!$B$28,Q9=""),0,IF(ABS(Q9+D10-J10)&gt;0.005,1,0))</f>
        <v>0.0</v>
      </c>
      <c r="T10" s="1" t="str">
        <f>IF(R10=1,Q9+D10,"")</f>
        <v/>
      </c>
      <c r="V10" s="1">
        <f>IF(D10="",1,IF(OR(ABS(D10-'读到的原样'!$A$10)&gt;0.005,B10&lt;&gt;'读到的原样'!$B$10),1,0))</f>
        <v>0.0</v>
      </c>
      <c r="W10" s="1">
        <f>IF(J10="",IF('读到的原样'!$C$10="",0,1),IF('读到的原样'!$C$10="",1,IF(ABS(J10-'读到的原样'!$C$10)&gt;0.005,1,0)))</f>
        <v>0.0</v>
      </c>
      <c r="X10" s="1">
        <f>IF(AND(N10='分类汇总'!$B$28,O10&lt;&gt;E10),1,0)</f>
        <v>0.0</v>
      </c>
      <c r="Y10" s="1">
        <f>IF(AND(U10=1,N10&lt;&gt;"借贷款项",N10&lt;&gt;'分类汇总'!$B$28,N10&lt;&gt;"未决定"),1,0)</f>
        <v>0.0</v>
      </c>
    </row>
    <row r="11" spans="1:25">
      <c r="A11" s="39">
        <v>6</v>
      </c>
      <c r="B11" s="40">
        <v>46243</v>
      </c>
      <c r="C11" s="41" t="s">
        <v>46</v>
      </c>
      <c r="D11" s="42">
        <v>-2000</v>
      </c>
      <c r="E11" s="43" t="s">
        <v>40</v>
      </c>
      <c r="F11" s="44"/>
      <c r="G11" s="41" t="str">
        <f>IF(AND(E11="",D11=""),"",IF(OR(E11="",E11='分类汇总'!$C$6),"待你决定",IF(E11&lt;&gt;O11,"你定的",IF(F11&lt;&gt;"","你核对过",P11))))</f>
        <v>待你决定</v>
      </c>
      <c r="H11" s="45" t="s">
        <v>47</v>
      </c>
      <c r="I11" s="45" t="s">
        <v>48</v>
      </c>
      <c r="J11" s="46">
        <v>20068.1</v>
      </c>
      <c r="K11" s="39">
        <v>12</v>
      </c>
      <c r="L11" s="47" t="s">
        <v>31</v>
      </c>
      <c r="M11" s="1">
        <f>IF(B11="","",DATE(YEAR(B11),MONTH(B11),1))</f>
        <v>46235.0</v>
      </c>
      <c r="N11" s="1" t="str">
        <f>IF(D11="","",IF(E11="",'分类汇总'!$B$6,IFERROR(INDEX('分类汇总'!$B$6:$B$31,MATCH(E11,'分类汇总'!$C$6:$C$31,0)),"none")))</f>
        <v>未决定</v>
      </c>
      <c r="O11" s="1" t="s">
        <v>40</v>
      </c>
      <c r="P11" s="1" t="s">
        <v>31</v>
      </c>
      <c r="Q11" s="1">
        <f>IF(AND(J11&lt;&gt;"",N11&lt;&gt;'分类汇总'!$B$28),J11,Q10)</f>
        <v>20068.1</v>
      </c>
      <c r="R11" s="1">
        <f>IF(OR(J11="",D11="",N11='分类汇总'!$B$28,Q10=""),0,IF(ABS(Q10+D11-J11)&gt;0.005,1,0))</f>
        <v>0.0</v>
      </c>
      <c r="T11" s="1" t="str">
        <f>IF(R11=1,Q10+D11,"")</f>
        <v/>
      </c>
      <c r="V11" s="1">
        <f>IF(D11="",1,IF(OR(ABS(D11-'读到的原样'!$A$11)&gt;0.005,B11&lt;&gt;'读到的原样'!$B$11),1,0))</f>
        <v>0.0</v>
      </c>
      <c r="W11" s="1">
        <f>IF(J11="",IF('读到的原样'!$C$11="",0,1),IF('读到的原样'!$C$11="",1,IF(ABS(J11-'读到的原样'!$C$11)&gt;0.005,1,0)))</f>
        <v>0.0</v>
      </c>
      <c r="X11" s="1">
        <f>IF(AND(N11='分类汇总'!$B$28,O11&lt;&gt;E11),1,0)</f>
        <v>0.0</v>
      </c>
      <c r="Y11" s="1">
        <f>IF(AND(U11=1,N11&lt;&gt;"借贷款项",N11&lt;&gt;'分类汇总'!$B$28,N11&lt;&gt;"未决定"),1,0)</f>
        <v>0.0</v>
      </c>
    </row>
    <row r="12" spans="1:25">
      <c r="A12" s="39">
        <v>7</v>
      </c>
      <c r="B12" s="40">
        <v>46245</v>
      </c>
      <c r="C12" s="41" t="s">
        <v>49</v>
      </c>
      <c r="D12" s="42">
        <v>-686.4</v>
      </c>
      <c r="E12" s="43" t="s">
        <v>48</v>
      </c>
      <c r="F12" s="44"/>
      <c r="G12" s="41" t="str">
        <f>IF(AND(E12="",D12=""),"",IF(OR(E12="",E12='分类汇总'!$C$6),"待你决定",IF(E12&lt;&gt;O12,"你定的",IF(F12&lt;&gt;"","你核对过",P12))))</f>
        <v>你说的</v>
      </c>
      <c r="H12" s="45" t="s">
        <v>50</v>
      </c>
      <c r="I12" s="45" t="s">
        <v>31</v>
      </c>
      <c r="J12" s="46">
        <v>19381.7</v>
      </c>
      <c r="K12" s="39">
        <v>13</v>
      </c>
      <c r="L12" s="47" t="s">
        <v>31</v>
      </c>
      <c r="M12" s="1">
        <f>IF(B12="","",DATE(YEAR(B12),MONTH(B12),1))</f>
        <v>46235.0</v>
      </c>
      <c r="N12" s="1" t="str">
        <f>IF(D12="","",IF(E12="",'分类汇总'!$B$6,IFERROR(INDEX('分类汇总'!$B$6:$B$31,MATCH(E12,'分类汇总'!$C$6:$C$31,0)),"none")))</f>
        <v>私人开支</v>
      </c>
      <c r="O12" s="1" t="s">
        <v>48</v>
      </c>
      <c r="P12" s="1" t="s">
        <v>32</v>
      </c>
      <c r="Q12" s="1">
        <f>IF(AND(J12&lt;&gt;"",N12&lt;&gt;'分类汇总'!$B$28),J12,Q11)</f>
        <v>19381.7</v>
      </c>
      <c r="R12" s="1">
        <f>IF(OR(J12="",D12="",N12='分类汇总'!$B$28,Q11=""),0,IF(ABS(Q11+D12-J12)&gt;0.005,1,0))</f>
        <v>0.0</v>
      </c>
      <c r="T12" s="1" t="str">
        <f>IF(R12=1,Q11+D12,"")</f>
        <v/>
      </c>
      <c r="V12" s="1">
        <f>IF(D12="",1,IF(OR(ABS(D12-'读到的原样'!$A$12)&gt;0.005,B12&lt;&gt;'读到的原样'!$B$12),1,0))</f>
        <v>0.0</v>
      </c>
      <c r="W12" s="1">
        <f>IF(J12="",IF('读到的原样'!$C$12="",0,1),IF('读到的原样'!$C$12="",1,IF(ABS(J12-'读到的原样'!$C$12)&gt;0.005,1,0)))</f>
        <v>0.0</v>
      </c>
      <c r="X12" s="1">
        <f>IF(AND(N12='分类汇总'!$B$28,O12&lt;&gt;E12),1,0)</f>
        <v>0.0</v>
      </c>
      <c r="Y12" s="1">
        <f>IF(AND(U12=1,N12&lt;&gt;"借贷款项",N12&lt;&gt;'分类汇总'!$B$28,N12&lt;&gt;"未决定"),1,0)</f>
        <v>0.0</v>
      </c>
    </row>
    <row r="13" spans="1:25">
      <c r="A13" s="39">
        <v>8</v>
      </c>
      <c r="B13" s="40">
        <v>46246</v>
      </c>
      <c r="C13" s="41" t="s">
        <v>51</v>
      </c>
      <c r="D13" s="42">
        <v>-12</v>
      </c>
      <c r="E13" s="43" t="s">
        <v>52</v>
      </c>
      <c r="F13" s="44"/>
      <c r="G13" s="41" t="str">
        <f>IF(AND(E13="",D13=""),"",IF(OR(E13="",E13='分类汇总'!$C$6),"待你决定",IF(E13&lt;&gt;O13,"你定的",IF(F13&lt;&gt;"","你核对过",P13))))</f>
        <v>我们的猜测，没核对</v>
      </c>
      <c r="H13" s="45" t="s">
        <v>53</v>
      </c>
      <c r="I13" s="45" t="s">
        <v>31</v>
      </c>
      <c r="J13" s="46">
        <v>19369.7</v>
      </c>
      <c r="K13" s="39">
        <v>14</v>
      </c>
      <c r="L13" s="47" t="s">
        <v>31</v>
      </c>
      <c r="M13" s="1">
        <f>IF(B13="","",DATE(YEAR(B13),MONTH(B13),1))</f>
        <v>46235.0</v>
      </c>
      <c r="N13" s="1" t="str">
        <f>IF(D13="","",IF(E13="",'分类汇总'!$B$6,IFERROR(INDEX('分类汇总'!$B$6:$B$31,MATCH(E13,'分类汇总'!$C$6:$C$31,0)),"none")))</f>
        <v>支出</v>
      </c>
      <c r="O13" s="1" t="s">
        <v>52</v>
      </c>
      <c r="P13" s="1" t="s">
        <v>54</v>
      </c>
      <c r="Q13" s="1">
        <f>IF(AND(J13&lt;&gt;"",N13&lt;&gt;'分类汇总'!$B$28),J13,Q12)</f>
        <v>19369.7</v>
      </c>
      <c r="R13" s="1">
        <f>IF(OR(J13="",D13="",N13='分类汇总'!$B$28,Q12=""),0,IF(ABS(Q12+D13-J13)&gt;0.005,1,0))</f>
        <v>0.0</v>
      </c>
      <c r="T13" s="1" t="str">
        <f>IF(R13=1,Q12+D13,"")</f>
        <v/>
      </c>
      <c r="V13" s="1">
        <f>IF(D13="",1,IF(OR(ABS(D13-'读到的原样'!$A$13)&gt;0.005,B13&lt;&gt;'读到的原样'!$B$13),1,0))</f>
        <v>0.0</v>
      </c>
      <c r="W13" s="1">
        <f>IF(J13="",IF('读到的原样'!$C$13="",0,1),IF('读到的原样'!$C$13="",1,IF(ABS(J13-'读到的原样'!$C$13)&gt;0.005,1,0)))</f>
        <v>0.0</v>
      </c>
      <c r="X13" s="1">
        <f>IF(AND(N13='分类汇总'!$B$28,O13&lt;&gt;E13),1,0)</f>
        <v>0.0</v>
      </c>
      <c r="Y13" s="1">
        <f>IF(AND(U13=1,N13&lt;&gt;"借贷款项",N13&lt;&gt;'分类汇总'!$B$28,N13&lt;&gt;"未决定"),1,0)</f>
        <v>0.0</v>
      </c>
    </row>
    <row r="14" spans="1:25">
      <c r="A14" s="39">
        <v>9</v>
      </c>
      <c r="B14" s="40">
        <v>46248</v>
      </c>
      <c r="C14" s="41" t="s">
        <v>55</v>
      </c>
      <c r="D14" s="42">
        <v>-129</v>
      </c>
      <c r="E14" s="43" t="s">
        <v>56</v>
      </c>
      <c r="F14" s="44"/>
      <c r="G14" s="41" t="str">
        <f>IF(AND(E14="",D14=""),"",IF(OR(E14="",E14='分类汇总'!$C$6),"待你决定",IF(E14&lt;&gt;O14,"你定的",IF(F14&lt;&gt;"","你核对过",P14))))</f>
        <v>你说的</v>
      </c>
      <c r="H14" s="45" t="s">
        <v>57</v>
      </c>
      <c r="I14" s="45" t="s">
        <v>31</v>
      </c>
      <c r="J14" s="46">
        <v>19240.7</v>
      </c>
      <c r="K14" s="39">
        <v>15</v>
      </c>
      <c r="L14" s="47" t="s">
        <v>31</v>
      </c>
      <c r="M14" s="1">
        <f>IF(B14="","",DATE(YEAR(B14),MONTH(B14),1))</f>
        <v>46235.0</v>
      </c>
      <c r="N14" s="1" t="str">
        <f>IF(D14="","",IF(E14="",'分类汇总'!$B$6,IFERROR(INDEX('分类汇总'!$B$6:$B$31,MATCH(E14,'分类汇总'!$C$6:$C$31,0)),"none")))</f>
        <v>支出</v>
      </c>
      <c r="O14" s="1" t="s">
        <v>56</v>
      </c>
      <c r="P14" s="1" t="s">
        <v>32</v>
      </c>
      <c r="Q14" s="1">
        <f>IF(AND(J14&lt;&gt;"",N14&lt;&gt;'分类汇总'!$B$28),J14,Q13)</f>
        <v>19240.7</v>
      </c>
      <c r="R14" s="1">
        <f>IF(OR(J14="",D14="",N14='分类汇总'!$B$28,Q13=""),0,IF(ABS(Q13+D14-J14)&gt;0.005,1,0))</f>
        <v>0.0</v>
      </c>
      <c r="T14" s="1" t="str">
        <f>IF(R14=1,Q13+D14,"")</f>
        <v/>
      </c>
      <c r="V14" s="1">
        <f>IF(D14="",1,IF(OR(ABS(D14-'读到的原样'!$A$14)&gt;0.005,B14&lt;&gt;'读到的原样'!$B$14),1,0))</f>
        <v>0.0</v>
      </c>
      <c r="W14" s="1">
        <f>IF(J14="",IF('读到的原样'!$C$14="",0,1),IF('读到的原样'!$C$14="",1,IF(ABS(J14-'读到的原样'!$C$14)&gt;0.005,1,0)))</f>
        <v>0.0</v>
      </c>
      <c r="X14" s="1">
        <f>IF(AND(N14='分类汇总'!$B$28,O14&lt;&gt;E14),1,0)</f>
        <v>0.0</v>
      </c>
      <c r="Y14" s="1">
        <f>IF(AND(U14=1,N14&lt;&gt;"借贷款项",N14&lt;&gt;'分类汇总'!$B$28,N14&lt;&gt;"未决定"),1,0)</f>
        <v>0.0</v>
      </c>
    </row>
    <row r="15" spans="1:25">
      <c r="A15" s="39">
        <v>10</v>
      </c>
      <c r="B15" s="40">
        <v>46250</v>
      </c>
      <c r="C15" s="41" t="s">
        <v>58</v>
      </c>
      <c r="D15" s="42">
        <v>8600</v>
      </c>
      <c r="E15" s="43" t="s">
        <v>40</v>
      </c>
      <c r="F15" s="44"/>
      <c r="G15" s="41" t="str">
        <f>IF(AND(E15="",D15=""),"",IF(OR(E15="",E15='分类汇总'!$C$6),"待你决定",IF(E15&lt;&gt;O15,"你定的",IF(F15&lt;&gt;"","你核对过",P15))))</f>
        <v>待你决定</v>
      </c>
      <c r="H15" s="45" t="s">
        <v>59</v>
      </c>
      <c r="I15" s="45" t="s">
        <v>34</v>
      </c>
      <c r="J15" s="46">
        <v>27840.7</v>
      </c>
      <c r="K15" s="39">
        <v>16</v>
      </c>
      <c r="L15" s="47" t="s">
        <v>31</v>
      </c>
      <c r="M15" s="1">
        <f>IF(B15="","",DATE(YEAR(B15),MONTH(B15),1))</f>
        <v>46235.0</v>
      </c>
      <c r="N15" s="1" t="str">
        <f>IF(D15="","",IF(E15="",'分类汇总'!$B$6,IFERROR(INDEX('分类汇总'!$B$6:$B$31,MATCH(E15,'分类汇总'!$C$6:$C$31,0)),"none")))</f>
        <v>未决定</v>
      </c>
      <c r="O15" s="1" t="s">
        <v>40</v>
      </c>
      <c r="P15" s="1" t="s">
        <v>31</v>
      </c>
      <c r="Q15" s="1">
        <f>IF(AND(J15&lt;&gt;"",N15&lt;&gt;'分类汇总'!$B$28),J15,Q14)</f>
        <v>27840.7</v>
      </c>
      <c r="R15" s="1">
        <f>IF(OR(J15="",D15="",N15='分类汇总'!$B$28,Q14=""),0,IF(ABS(Q14+D15-J15)&gt;0.005,1,0))</f>
        <v>0.0</v>
      </c>
      <c r="T15" s="1" t="str">
        <f>IF(R15=1,Q14+D15,"")</f>
        <v/>
      </c>
      <c r="V15" s="1">
        <f>IF(D15="",1,IF(OR(ABS(D15-'读到的原样'!$A$15)&gt;0.005,B15&lt;&gt;'读到的原样'!$B$15),1,0))</f>
        <v>0.0</v>
      </c>
      <c r="W15" s="1">
        <f>IF(J15="",IF('读到的原样'!$C$15="",0,1),IF('读到的原样'!$C$15="",1,IF(ABS(J15-'读到的原样'!$C$15)&gt;0.005,1,0)))</f>
        <v>0.0</v>
      </c>
      <c r="X15" s="1">
        <f>IF(AND(N15='分类汇总'!$B$28,O15&lt;&gt;E15),1,0)</f>
        <v>0.0</v>
      </c>
      <c r="Y15" s="1">
        <f>IF(AND(U15=1,N15&lt;&gt;"借贷款项",N15&lt;&gt;'分类汇总'!$B$28,N15&lt;&gt;"未决定"),1,0)</f>
        <v>0.0</v>
      </c>
    </row>
    <row r="16" spans="1:25">
      <c r="A16" s="39">
        <v>11</v>
      </c>
      <c r="B16" s="40">
        <v>46255</v>
      </c>
      <c r="C16" s="41" t="s">
        <v>60</v>
      </c>
      <c r="D16" s="42">
        <v>5200</v>
      </c>
      <c r="E16" s="43" t="s">
        <v>34</v>
      </c>
      <c r="F16" s="44"/>
      <c r="G16" s="41" t="str">
        <f>IF(AND(E16="",D16=""),"",IF(OR(E16="",E16='分类汇总'!$C$6),"待你决定",IF(E16&lt;&gt;O16,"你定的",IF(F16&lt;&gt;"","你核对过",P16))))</f>
        <v>你说的</v>
      </c>
      <c r="H16" s="45" t="s">
        <v>61</v>
      </c>
      <c r="I16" s="45" t="s">
        <v>31</v>
      </c>
      <c r="J16" s="46">
        <v>33040.7</v>
      </c>
      <c r="K16" s="39">
        <v>17</v>
      </c>
      <c r="L16" s="47" t="s">
        <v>31</v>
      </c>
      <c r="M16" s="1">
        <f>IF(B16="","",DATE(YEAR(B16),MONTH(B16),1))</f>
        <v>46235.0</v>
      </c>
      <c r="N16" s="1" t="str">
        <f>IF(D16="","",IF(E16="",'分类汇总'!$B$6,IFERROR(INDEX('分类汇总'!$B$6:$B$31,MATCH(E16,'分类汇总'!$C$6:$C$31,0)),"none")))</f>
        <v>收入</v>
      </c>
      <c r="O16" s="1" t="s">
        <v>34</v>
      </c>
      <c r="P16" s="1" t="s">
        <v>32</v>
      </c>
      <c r="Q16" s="1">
        <f>IF(AND(J16&lt;&gt;"",N16&lt;&gt;'分类汇总'!$B$28),J16,Q15)</f>
        <v>33040.7</v>
      </c>
      <c r="R16" s="1">
        <f>IF(OR(J16="",D16="",N16='分类汇总'!$B$28,Q15=""),0,IF(ABS(Q15+D16-J16)&gt;0.005,1,0))</f>
        <v>0.0</v>
      </c>
      <c r="T16" s="1" t="str">
        <f>IF(R16=1,Q15+D16,"")</f>
        <v/>
      </c>
      <c r="V16" s="1">
        <f>IF(D16="",1,IF(OR(ABS(D16-'读到的原样'!$A$16)&gt;0.005,B16&lt;&gt;'读到的原样'!$B$16),1,0))</f>
        <v>0.0</v>
      </c>
      <c r="W16" s="1">
        <f>IF(J16="",IF('读到的原样'!$C$16="",0,1),IF('读到的原样'!$C$16="",1,IF(ABS(J16-'读到的原样'!$C$16)&gt;0.005,1,0)))</f>
        <v>0.0</v>
      </c>
      <c r="X16" s="1">
        <f>IF(AND(N16='分类汇总'!$B$28,O16&lt;&gt;E16),1,0)</f>
        <v>0.0</v>
      </c>
      <c r="Y16" s="1">
        <f>IF(AND(U16=1,N16&lt;&gt;"借贷款项",N16&lt;&gt;'分类汇总'!$B$28,N16&lt;&gt;"未决定"),1,0)</f>
        <v>0.0</v>
      </c>
    </row>
    <row r="17" spans="1:25">
      <c r="A17" s="39">
        <v>12</v>
      </c>
      <c r="B17" s="40">
        <v>46259</v>
      </c>
      <c r="C17" s="41" t="s">
        <v>62</v>
      </c>
      <c r="D17" s="42">
        <v>-980</v>
      </c>
      <c r="E17" s="43" t="s">
        <v>63</v>
      </c>
      <c r="F17" s="44"/>
      <c r="G17" s="41" t="str">
        <f>IF(AND(E17="",D17=""),"",IF(OR(E17="",E17='分类汇总'!$C$6),"待你决定",IF(E17&lt;&gt;O17,"你定的",IF(F17&lt;&gt;"","你核对过",P17))))</f>
        <v>你说的</v>
      </c>
      <c r="H17" s="45" t="s">
        <v>64</v>
      </c>
      <c r="I17" s="45" t="s">
        <v>31</v>
      </c>
      <c r="J17" s="46">
        <v>32060.7</v>
      </c>
      <c r="K17" s="39">
        <v>18</v>
      </c>
      <c r="L17" s="47" t="s">
        <v>31</v>
      </c>
      <c r="M17" s="1">
        <f>IF(B17="","",DATE(YEAR(B17),MONTH(B17),1))</f>
        <v>46235.0</v>
      </c>
      <c r="N17" s="1" t="str">
        <f>IF(D17="","",IF(E17="",'分类汇总'!$B$6,IFERROR(INDEX('分类汇总'!$B$6:$B$31,MATCH(E17,'分类汇总'!$C$6:$C$31,0)),"none")))</f>
        <v>支出</v>
      </c>
      <c r="O17" s="1" t="s">
        <v>63</v>
      </c>
      <c r="P17" s="1" t="s">
        <v>32</v>
      </c>
      <c r="Q17" s="1">
        <f>IF(AND(J17&lt;&gt;"",N17&lt;&gt;'分类汇总'!$B$28),J17,Q16)</f>
        <v>32060.7</v>
      </c>
      <c r="R17" s="1">
        <f>IF(OR(J17="",D17="",N17='分类汇总'!$B$28,Q16=""),0,IF(ABS(Q16+D17-J17)&gt;0.005,1,0))</f>
        <v>0.0</v>
      </c>
      <c r="T17" s="1" t="str">
        <f>IF(R17=1,Q16+D17,"")</f>
        <v/>
      </c>
      <c r="V17" s="1">
        <f>IF(D17="",1,IF(OR(ABS(D17-'读到的原样'!$A$17)&gt;0.005,B17&lt;&gt;'读到的原样'!$B$17),1,0))</f>
        <v>0.0</v>
      </c>
      <c r="W17" s="1">
        <f>IF(J17="",IF('读到的原样'!$C$17="",0,1),IF('读到的原样'!$C$17="",1,IF(ABS(J17-'读到的原样'!$C$17)&gt;0.005,1,0)))</f>
        <v>0.0</v>
      </c>
      <c r="X17" s="1">
        <f>IF(AND(N17='分类汇总'!$B$28,O17&lt;&gt;E17),1,0)</f>
        <v>0.0</v>
      </c>
      <c r="Y17" s="1">
        <f>IF(AND(U17=1,N17&lt;&gt;"借贷款项",N17&lt;&gt;'分类汇总'!$B$28,N17&lt;&gt;"未决定"),1,0)</f>
        <v>0.0</v>
      </c>
    </row>
    <row r="18" spans="1:25">
      <c r="A18" s="39">
        <v>13</v>
      </c>
      <c r="B18" s="40">
        <v>46262</v>
      </c>
      <c r="C18" s="41" t="s">
        <v>65</v>
      </c>
      <c r="D18" s="42">
        <v>-680</v>
      </c>
      <c r="E18" s="43" t="s">
        <v>66</v>
      </c>
      <c r="F18" s="44"/>
      <c r="G18" s="41" t="str">
        <f>IF(AND(E18="",D18=""),"",IF(OR(E18="",E18='分类汇总'!$C$6),"待你决定",IF(E18&lt;&gt;O18,"你定的",IF(F18&lt;&gt;"","你核对过",P18))))</f>
        <v>你说的</v>
      </c>
      <c r="H18" s="45" t="s">
        <v>67</v>
      </c>
      <c r="I18" s="45" t="s">
        <v>31</v>
      </c>
      <c r="J18" s="46">
        <v>31380.7</v>
      </c>
      <c r="K18" s="39">
        <v>19</v>
      </c>
      <c r="L18" s="47" t="s">
        <v>31</v>
      </c>
      <c r="M18" s="1">
        <f>IF(B18="","",DATE(YEAR(B18),MONTH(B18),1))</f>
        <v>46235.0</v>
      </c>
      <c r="N18" s="1" t="str">
        <f>IF(D18="","",IF(E18="",'分类汇总'!$B$6,IFERROR(INDEX('分类汇总'!$B$6:$B$31,MATCH(E18,'分类汇总'!$C$6:$C$31,0)),"none")))</f>
        <v>支出</v>
      </c>
      <c r="O18" s="1" t="s">
        <v>66</v>
      </c>
      <c r="P18" s="1" t="s">
        <v>32</v>
      </c>
      <c r="Q18" s="1">
        <f>IF(AND(J18&lt;&gt;"",N18&lt;&gt;'分类汇总'!$B$28),J18,Q17)</f>
        <v>31380.7</v>
      </c>
      <c r="R18" s="1">
        <f>IF(OR(J18="",D18="",N18='分类汇总'!$B$28,Q17=""),0,IF(ABS(Q17+D18-J18)&gt;0.005,1,0))</f>
        <v>0.0</v>
      </c>
      <c r="T18" s="1" t="str">
        <f>IF(R18=1,Q17+D18,"")</f>
        <v/>
      </c>
      <c r="V18" s="1">
        <f>IF(D18="",1,IF(OR(ABS(D18-'读到的原样'!$A$18)&gt;0.005,B18&lt;&gt;'读到的原样'!$B$18),1,0))</f>
        <v>0.0</v>
      </c>
      <c r="W18" s="1">
        <f>IF(J18="",IF('读到的原样'!$C$18="",0,1),IF('读到的原样'!$C$18="",1,IF(ABS(J18-'读到的原样'!$C$18)&gt;0.005,1,0)))</f>
        <v>0.0</v>
      </c>
      <c r="X18" s="1">
        <f>IF(AND(N18='分类汇总'!$B$28,O18&lt;&gt;E18),1,0)</f>
        <v>0.0</v>
      </c>
      <c r="Y18" s="1">
        <f>IF(AND(U18=1,N18&lt;&gt;"借贷款项",N18&lt;&gt;'分类汇总'!$B$28,N18&lt;&gt;"未决定"),1,0)</f>
        <v>0.0</v>
      </c>
    </row>
    <row r="19" spans="1:25">
      <c r="A19" s="39">
        <v>14</v>
      </c>
      <c r="B19" s="40">
        <v>46266</v>
      </c>
      <c r="C19" s="41" t="s">
        <v>28</v>
      </c>
      <c r="D19" s="42">
        <v>-6500</v>
      </c>
      <c r="E19" s="43" t="s">
        <v>29</v>
      </c>
      <c r="F19" s="44"/>
      <c r="G19" s="41" t="str">
        <f>IF(AND(E19="",D19=""),"",IF(OR(E19="",E19='分类汇总'!$C$6),"待你决定",IF(E19&lt;&gt;O19,"你定的",IF(F19&lt;&gt;"","你核对过",P19))))</f>
        <v>你说的</v>
      </c>
      <c r="H19" s="45" t="s">
        <v>30</v>
      </c>
      <c r="I19" s="45" t="s">
        <v>31</v>
      </c>
      <c r="J19" s="46">
        <v>24880.7</v>
      </c>
      <c r="K19" s="39">
        <v>23</v>
      </c>
      <c r="L19" s="47" t="s">
        <v>31</v>
      </c>
      <c r="M19" s="1">
        <f>IF(B19="","",DATE(YEAR(B19),MONTH(B19),1))</f>
        <v>46266.0</v>
      </c>
      <c r="N19" s="1" t="str">
        <f>IF(D19="","",IF(E19="",'分类汇总'!$B$6,IFERROR(INDEX('分类汇总'!$B$6:$B$31,MATCH(E19,'分类汇总'!$C$6:$C$31,0)),"none")))</f>
        <v>支出</v>
      </c>
      <c r="O19" s="1" t="s">
        <v>29</v>
      </c>
      <c r="P19" s="1" t="s">
        <v>32</v>
      </c>
      <c r="Q19" s="1">
        <f>IF(AND(J19&lt;&gt;"",N19&lt;&gt;'分类汇总'!$B$28),J19,Q18)</f>
        <v>24880.7</v>
      </c>
      <c r="R19" s="1">
        <f>IF(OR(J19="",D19="",N19='分类汇总'!$B$28,Q18=""),0,IF(ABS(Q18+D19-J19)&gt;0.005,1,0))</f>
        <v>0.0</v>
      </c>
      <c r="T19" s="1" t="str">
        <f>IF(R19=1,Q18+D19,"")</f>
        <v/>
      </c>
      <c r="V19" s="1">
        <f>IF(D19="",1,IF(OR(ABS(D19-'读到的原样'!$A$19)&gt;0.005,B19&lt;&gt;'读到的原样'!$B$19),1,0))</f>
        <v>0.0</v>
      </c>
      <c r="W19" s="1">
        <f>IF(J19="",IF('读到的原样'!$C$19="",0,1),IF('读到的原样'!$C$19="",1,IF(ABS(J19-'读到的原样'!$C$19)&gt;0.005,1,0)))</f>
        <v>0.0</v>
      </c>
      <c r="X19" s="1">
        <f>IF(AND(N19='分类汇总'!$B$28,O19&lt;&gt;E19),1,0)</f>
        <v>0.0</v>
      </c>
      <c r="Y19" s="1">
        <f>IF(AND(U19=1,N19&lt;&gt;"借贷款项",N19&lt;&gt;'分类汇总'!$B$28,N19&lt;&gt;"未决定"),1,0)</f>
        <v>0.0</v>
      </c>
    </row>
    <row r="20" spans="1:25">
      <c r="A20" s="39">
        <v>15</v>
      </c>
      <c r="B20" s="40">
        <v>46267</v>
      </c>
      <c r="C20" s="41" t="s">
        <v>36</v>
      </c>
      <c r="D20" s="42">
        <v>-3120</v>
      </c>
      <c r="E20" s="43" t="s">
        <v>37</v>
      </c>
      <c r="F20" s="44"/>
      <c r="G20" s="41" t="str">
        <f>IF(AND(E20="",D20=""),"",IF(OR(E20="",E20='分类汇总'!$C$6),"待你决定",IF(E20&lt;&gt;O20,"你定的",IF(F20&lt;&gt;"","你核对过",P20))))</f>
        <v>你说的</v>
      </c>
      <c r="H20" s="45" t="s">
        <v>38</v>
      </c>
      <c r="I20" s="45" t="s">
        <v>31</v>
      </c>
      <c r="J20" s="46">
        <v>21760.7</v>
      </c>
      <c r="K20" s="39">
        <v>24</v>
      </c>
      <c r="L20" s="47" t="s">
        <v>31</v>
      </c>
      <c r="M20" s="1">
        <f>IF(B20="","",DATE(YEAR(B20),MONTH(B20),1))</f>
        <v>46266.0</v>
      </c>
      <c r="N20" s="1" t="str">
        <f>IF(D20="","",IF(E20="",'分类汇总'!$B$6,IFERROR(INDEX('分类汇总'!$B$6:$B$31,MATCH(E20,'分类汇总'!$C$6:$C$31,0)),"none")))</f>
        <v>支出</v>
      </c>
      <c r="O20" s="1" t="s">
        <v>37</v>
      </c>
      <c r="P20" s="1" t="s">
        <v>32</v>
      </c>
      <c r="Q20" s="1">
        <f>IF(AND(J20&lt;&gt;"",N20&lt;&gt;'分类汇总'!$B$28),J20,Q19)</f>
        <v>21760.7</v>
      </c>
      <c r="R20" s="1">
        <f>IF(OR(J20="",D20="",N20='分类汇总'!$B$28,Q19=""),0,IF(ABS(Q19+D20-J20)&gt;0.005,1,0))</f>
        <v>0.0</v>
      </c>
      <c r="T20" s="1" t="str">
        <f>IF(R20=1,Q19+D20,"")</f>
        <v/>
      </c>
      <c r="V20" s="1">
        <f>IF(D20="",1,IF(OR(ABS(D20-'读到的原样'!$A$20)&gt;0.005,B20&lt;&gt;'读到的原样'!$B$20),1,0))</f>
        <v>0.0</v>
      </c>
      <c r="W20" s="1">
        <f>IF(J20="",IF('读到的原样'!$C$20="",0,1),IF('读到的原样'!$C$20="",1,IF(ABS(J20-'读到的原样'!$C$20)&gt;0.005,1,0)))</f>
        <v>0.0</v>
      </c>
      <c r="X20" s="1">
        <f>IF(AND(N20='分类汇总'!$B$28,O20&lt;&gt;E20),1,0)</f>
        <v>0.0</v>
      </c>
      <c r="Y20" s="1">
        <f>IF(AND(U20=1,N20&lt;&gt;"借贷款项",N20&lt;&gt;'分类汇总'!$B$28,N20&lt;&gt;"未决定"),1,0)</f>
        <v>0.0</v>
      </c>
    </row>
    <row r="21" spans="1:25">
      <c r="A21" s="39">
        <v>16</v>
      </c>
      <c r="B21" s="40">
        <v>46268</v>
      </c>
      <c r="C21" s="41" t="s">
        <v>68</v>
      </c>
      <c r="D21" s="42">
        <v>460</v>
      </c>
      <c r="E21" s="43" t="s">
        <v>37</v>
      </c>
      <c r="F21" s="44"/>
      <c r="G21" s="41" t="str">
        <f>IF(AND(E21="",D21=""),"",IF(OR(E21="",E21='分类汇总'!$C$6),"待你决定",IF(E21&lt;&gt;O21,"你定的",IF(F21&lt;&gt;"","你核对过",P21))))</f>
        <v>你说的</v>
      </c>
      <c r="H21" s="45" t="s">
        <v>38</v>
      </c>
      <c r="I21" s="45" t="s">
        <v>31</v>
      </c>
      <c r="J21" s="46">
        <v>22220.7</v>
      </c>
      <c r="K21" s="39">
        <v>25</v>
      </c>
      <c r="L21" s="47" t="s">
        <v>31</v>
      </c>
      <c r="M21" s="1">
        <f>IF(B21="","",DATE(YEAR(B21),MONTH(B21),1))</f>
        <v>46266.0</v>
      </c>
      <c r="N21" s="1" t="str">
        <f>IF(D21="","",IF(E21="",'分类汇总'!$B$6,IFERROR(INDEX('分类汇总'!$B$6:$B$31,MATCH(E21,'分类汇总'!$C$6:$C$31,0)),"none")))</f>
        <v>支出</v>
      </c>
      <c r="O21" s="1" t="s">
        <v>37</v>
      </c>
      <c r="P21" s="1" t="s">
        <v>32</v>
      </c>
      <c r="Q21" s="1">
        <f>IF(AND(J21&lt;&gt;"",N21&lt;&gt;'分类汇总'!$B$28),J21,Q20)</f>
        <v>22220.7</v>
      </c>
      <c r="R21" s="1">
        <f>IF(OR(J21="",D21="",N21='分类汇总'!$B$28,Q20=""),0,IF(ABS(Q20+D21-J21)&gt;0.005,1,0))</f>
        <v>0.0</v>
      </c>
      <c r="T21" s="1" t="str">
        <f>IF(R21=1,Q20+D21,"")</f>
        <v/>
      </c>
      <c r="V21" s="1">
        <f>IF(D21="",1,IF(OR(ABS(D21-'读到的原样'!$A$21)&gt;0.005,B21&lt;&gt;'读到的原样'!$B$21),1,0))</f>
        <v>0.0</v>
      </c>
      <c r="W21" s="1">
        <f>IF(J21="",IF('读到的原样'!$C$21="",0,1),IF('读到的原样'!$C$21="",1,IF(ABS(J21-'读到的原样'!$C$21)&gt;0.005,1,0)))</f>
        <v>0.0</v>
      </c>
      <c r="X21" s="1">
        <f>IF(AND(N21='分类汇总'!$B$28,O21&lt;&gt;E21),1,0)</f>
        <v>0.0</v>
      </c>
      <c r="Y21" s="1">
        <f>IF(AND(U21=1,N21&lt;&gt;"借贷款项",N21&lt;&gt;'分类汇总'!$B$28,N21&lt;&gt;"未决定"),1,0)</f>
        <v>0.0</v>
      </c>
    </row>
    <row r="22" spans="1:25">
      <c r="A22" s="39">
        <v>17</v>
      </c>
      <c r="B22" s="40">
        <v>46269</v>
      </c>
      <c r="C22" s="41" t="s">
        <v>69</v>
      </c>
      <c r="D22" s="42">
        <v>17600</v>
      </c>
      <c r="E22" s="43" t="s">
        <v>34</v>
      </c>
      <c r="F22" s="44"/>
      <c r="G22" s="41" t="str">
        <f>IF(AND(E22="",D22=""),"",IF(OR(E22="",E22='分类汇总'!$C$6),"待你决定",IF(E22&lt;&gt;O22,"你定的",IF(F22&lt;&gt;"","你核对过",P22))))</f>
        <v>你说的</v>
      </c>
      <c r="H22" s="45" t="s">
        <v>70</v>
      </c>
      <c r="I22" s="45" t="s">
        <v>31</v>
      </c>
      <c r="J22" s="46">
        <v>39820.7</v>
      </c>
      <c r="K22" s="39">
        <v>26</v>
      </c>
      <c r="L22" s="47" t="s">
        <v>31</v>
      </c>
      <c r="M22" s="1">
        <f>IF(B22="","",DATE(YEAR(B22),MONTH(B22),1))</f>
        <v>46266.0</v>
      </c>
      <c r="N22" s="1" t="str">
        <f>IF(D22="","",IF(E22="",'分类汇总'!$B$6,IFERROR(INDEX('分类汇总'!$B$6:$B$31,MATCH(E22,'分类汇总'!$C$6:$C$31,0)),"none")))</f>
        <v>收入</v>
      </c>
      <c r="O22" s="1" t="s">
        <v>34</v>
      </c>
      <c r="P22" s="1" t="s">
        <v>32</v>
      </c>
      <c r="Q22" s="1">
        <f>IF(AND(J22&lt;&gt;"",N22&lt;&gt;'分类汇总'!$B$28),J22,Q21)</f>
        <v>39820.7</v>
      </c>
      <c r="R22" s="1">
        <f>IF(OR(J22="",D22="",N22='分类汇总'!$B$28,Q21=""),0,IF(ABS(Q21+D22-J22)&gt;0.005,1,0))</f>
        <v>0.0</v>
      </c>
      <c r="T22" s="1" t="str">
        <f>IF(R22=1,Q21+D22,"")</f>
        <v/>
      </c>
      <c r="V22" s="1">
        <f>IF(D22="",1,IF(OR(ABS(D22-'读到的原样'!$A$22)&gt;0.005,B22&lt;&gt;'读到的原样'!$B$22),1,0))</f>
        <v>0.0</v>
      </c>
      <c r="W22" s="1">
        <f>IF(J22="",IF('读到的原样'!$C$22="",0,1),IF('读到的原样'!$C$22="",1,IF(ABS(J22-'读到的原样'!$C$22)&gt;0.005,1,0)))</f>
        <v>0.0</v>
      </c>
      <c r="X22" s="1">
        <f>IF(AND(N22='分类汇总'!$B$28,O22&lt;&gt;E22),1,0)</f>
        <v>0.0</v>
      </c>
      <c r="Y22" s="1">
        <f>IF(AND(U22=1,N22&lt;&gt;"借贷款项",N22&lt;&gt;'分类汇总'!$B$28,N22&lt;&gt;"未决定"),1,0)</f>
        <v>0.0</v>
      </c>
    </row>
    <row r="23" spans="1:25">
      <c r="A23" s="39">
        <v>18</v>
      </c>
      <c r="B23" s="40">
        <v>46271</v>
      </c>
      <c r="C23" s="41" t="s">
        <v>71</v>
      </c>
      <c r="D23" s="42">
        <v>-18600</v>
      </c>
      <c r="E23" s="43" t="s">
        <v>72</v>
      </c>
      <c r="F23" s="44"/>
      <c r="G23" s="41" t="str">
        <f>IF(AND(E23="",D23=""),"",IF(OR(E23="",E23='分类汇总'!$C$6),"待你决定",IF(E23&lt;&gt;O23,"你定的",IF(F23&lt;&gt;"","你核对过",P23))))</f>
        <v>你说的</v>
      </c>
      <c r="H23" s="45" t="s">
        <v>73</v>
      </c>
      <c r="I23" s="45" t="s">
        <v>31</v>
      </c>
      <c r="J23" s="46">
        <v>21220.7</v>
      </c>
      <c r="K23" s="39">
        <v>27</v>
      </c>
      <c r="L23" s="47" t="s">
        <v>31</v>
      </c>
      <c r="M23" s="1">
        <f>IF(B23="","",DATE(YEAR(B23),MONTH(B23),1))</f>
        <v>46266.0</v>
      </c>
      <c r="N23" s="1" t="str">
        <f>IF(D23="","",IF(E23="",'分类汇总'!$B$6,IFERROR(INDEX('分类汇总'!$B$6:$B$31,MATCH(E23,'分类汇总'!$C$6:$C$31,0)),"none")))</f>
        <v>大额购置</v>
      </c>
      <c r="O23" s="1" t="s">
        <v>72</v>
      </c>
      <c r="P23" s="1" t="s">
        <v>32</v>
      </c>
      <c r="Q23" s="1">
        <f>IF(AND(J23&lt;&gt;"",N23&lt;&gt;'分类汇总'!$B$28),J23,Q22)</f>
        <v>21220.7</v>
      </c>
      <c r="R23" s="1">
        <f>IF(OR(J23="",D23="",N23='分类汇总'!$B$28,Q22=""),0,IF(ABS(Q22+D23-J23)&gt;0.005,1,0))</f>
        <v>0.0</v>
      </c>
      <c r="T23" s="1" t="str">
        <f>IF(R23=1,Q22+D23,"")</f>
        <v/>
      </c>
      <c r="V23" s="1">
        <f>IF(D23="",1,IF(OR(ABS(D23-'读到的原样'!$A$23)&gt;0.005,B23&lt;&gt;'读到的原样'!$B$23),1,0))</f>
        <v>0.0</v>
      </c>
      <c r="W23" s="1">
        <f>IF(J23="",IF('读到的原样'!$C$23="",0,1),IF('读到的原样'!$C$23="",1,IF(ABS(J23-'读到的原样'!$C$23)&gt;0.005,1,0)))</f>
        <v>0.0</v>
      </c>
      <c r="X23" s="1">
        <f>IF(AND(N23='分类汇总'!$B$28,O23&lt;&gt;E23),1,0)</f>
        <v>0.0</v>
      </c>
      <c r="Y23" s="1">
        <f>IF(AND(U23=1,N23&lt;&gt;"借贷款项",N23&lt;&gt;'分类汇总'!$B$28,N23&lt;&gt;"未决定"),1,0)</f>
        <v>0.0</v>
      </c>
    </row>
    <row r="24" spans="1:25">
      <c r="A24" s="39">
        <v>19</v>
      </c>
      <c r="B24" s="40">
        <v>46273</v>
      </c>
      <c r="C24" s="41" t="s">
        <v>74</v>
      </c>
      <c r="D24" s="42">
        <v>-398.8</v>
      </c>
      <c r="E24" s="43" t="s">
        <v>40</v>
      </c>
      <c r="F24" s="44"/>
      <c r="G24" s="41" t="str">
        <f>IF(AND(E24="",D24=""),"",IF(OR(E24="",E24='分类汇总'!$C$6),"待你决定",IF(E24&lt;&gt;O24,"你定的",IF(F24&lt;&gt;"","你核对过",P24))))</f>
        <v>待你决定</v>
      </c>
      <c r="H24" s="45" t="s">
        <v>41</v>
      </c>
      <c r="I24" s="45" t="s">
        <v>42</v>
      </c>
      <c r="J24" s="46">
        <v>20821.9</v>
      </c>
      <c r="K24" s="39">
        <v>28</v>
      </c>
      <c r="L24" s="47" t="s">
        <v>31</v>
      </c>
      <c r="M24" s="1">
        <f>IF(B24="","",DATE(YEAR(B24),MONTH(B24),1))</f>
        <v>46266.0</v>
      </c>
      <c r="N24" s="1" t="str">
        <f>IF(D24="","",IF(E24="",'分类汇总'!$B$6,IFERROR(INDEX('分类汇总'!$B$6:$B$31,MATCH(E24,'分类汇总'!$C$6:$C$31,0)),"none")))</f>
        <v>未决定</v>
      </c>
      <c r="O24" s="1" t="s">
        <v>40</v>
      </c>
      <c r="P24" s="1" t="s">
        <v>31</v>
      </c>
      <c r="Q24" s="1">
        <f>IF(AND(J24&lt;&gt;"",N24&lt;&gt;'分类汇总'!$B$28),J24,Q23)</f>
        <v>20821.9</v>
      </c>
      <c r="R24" s="1">
        <f>IF(OR(J24="",D24="",N24='分类汇总'!$B$28,Q23=""),0,IF(ABS(Q23+D24-J24)&gt;0.005,1,0))</f>
        <v>0.0</v>
      </c>
      <c r="T24" s="1" t="str">
        <f>IF(R24=1,Q23+D24,"")</f>
        <v/>
      </c>
      <c r="V24" s="1">
        <f>IF(D24="",1,IF(OR(ABS(D24-'读到的原样'!$A$24)&gt;0.005,B24&lt;&gt;'读到的原样'!$B$24),1,0))</f>
        <v>0.0</v>
      </c>
      <c r="W24" s="1">
        <f>IF(J24="",IF('读到的原样'!$C$24="",0,1),IF('读到的原样'!$C$24="",1,IF(ABS(J24-'读到的原样'!$C$24)&gt;0.005,1,0)))</f>
        <v>0.0</v>
      </c>
      <c r="X24" s="1">
        <f>IF(AND(N24='分类汇总'!$B$28,O24&lt;&gt;E24),1,0)</f>
        <v>0.0</v>
      </c>
      <c r="Y24" s="1">
        <f>IF(AND(U24=1,N24&lt;&gt;"借贷款项",N24&lt;&gt;'分类汇总'!$B$28,N24&lt;&gt;"未决定"),1,0)</f>
        <v>0.0</v>
      </c>
    </row>
    <row r="25" spans="1:25">
      <c r="A25" s="39">
        <v>20</v>
      </c>
      <c r="B25" s="40">
        <v>46275</v>
      </c>
      <c r="C25" s="41" t="s">
        <v>75</v>
      </c>
      <c r="D25" s="42">
        <v>-3500</v>
      </c>
      <c r="E25" s="43" t="s">
        <v>40</v>
      </c>
      <c r="F25" s="44"/>
      <c r="G25" s="41" t="str">
        <f>IF(AND(E25="",D25=""),"",IF(OR(E25="",E25='分类汇总'!$C$6),"待你决定",IF(E25&lt;&gt;O25,"你定的",IF(F25&lt;&gt;"","你核对过",P25))))</f>
        <v>待你决定</v>
      </c>
      <c r="H25" s="45" t="s">
        <v>76</v>
      </c>
      <c r="I25" s="45" t="s">
        <v>31</v>
      </c>
      <c r="J25" s="46">
        <v>17321.9</v>
      </c>
      <c r="K25" s="39">
        <v>29</v>
      </c>
      <c r="L25" s="47" t="s">
        <v>31</v>
      </c>
      <c r="M25" s="1">
        <f>IF(B25="","",DATE(YEAR(B25),MONTH(B25),1))</f>
        <v>46266.0</v>
      </c>
      <c r="N25" s="1" t="str">
        <f>IF(D25="","",IF(E25="",'分类汇总'!$B$6,IFERROR(INDEX('分类汇总'!$B$6:$B$31,MATCH(E25,'分类汇总'!$C$6:$C$31,0)),"none")))</f>
        <v>未决定</v>
      </c>
      <c r="O25" s="1" t="s">
        <v>40</v>
      </c>
      <c r="P25" s="1" t="s">
        <v>31</v>
      </c>
      <c r="Q25" s="1">
        <f>IF(AND(J25&lt;&gt;"",N25&lt;&gt;'分类汇总'!$B$28),J25,Q24)</f>
        <v>17321.9</v>
      </c>
      <c r="R25" s="1">
        <f>IF(OR(J25="",D25="",N25='分类汇总'!$B$28,Q24=""),0,IF(ABS(Q24+D25-J25)&gt;0.005,1,0))</f>
        <v>0.0</v>
      </c>
      <c r="T25" s="1" t="str">
        <f>IF(R25=1,Q24+D25,"")</f>
        <v/>
      </c>
      <c r="V25" s="1">
        <f>IF(D25="",1,IF(OR(ABS(D25-'读到的原样'!$A$25)&gt;0.005,B25&lt;&gt;'读到的原样'!$B$25),1,0))</f>
        <v>0.0</v>
      </c>
      <c r="W25" s="1">
        <f>IF(J25="",IF('读到的原样'!$C$25="",0,1),IF('读到的原样'!$C$25="",1,IF(ABS(J25-'读到的原样'!$C$25)&gt;0.005,1,0)))</f>
        <v>0.0</v>
      </c>
      <c r="X25" s="1">
        <f>IF(AND(N25='分类汇总'!$B$28,O25&lt;&gt;E25),1,0)</f>
        <v>0.0</v>
      </c>
      <c r="Y25" s="1">
        <f>IF(AND(U25=1,N25&lt;&gt;"借贷款项",N25&lt;&gt;'分类汇总'!$B$28,N25&lt;&gt;"未决定"),1,0)</f>
        <v>0.0</v>
      </c>
    </row>
    <row r="26" spans="1:25">
      <c r="A26" s="39">
        <v>21</v>
      </c>
      <c r="B26" s="40">
        <v>46277</v>
      </c>
      <c r="C26" s="41" t="s">
        <v>77</v>
      </c>
      <c r="D26" s="42">
        <v>-600</v>
      </c>
      <c r="E26" s="43" t="s">
        <v>78</v>
      </c>
      <c r="F26" s="44"/>
      <c r="G26" s="41" t="str">
        <f>IF(AND(E26="",D26=""),"",IF(OR(E26="",E26='分类汇总'!$C$6),"待你决定",IF(E26&lt;&gt;O26,"你定的",IF(F26&lt;&gt;"","你核对过",P26))))</f>
        <v>我们的猜测，没核对</v>
      </c>
      <c r="H26" s="45" t="s">
        <v>79</v>
      </c>
      <c r="I26" s="45" t="s">
        <v>31</v>
      </c>
      <c r="J26" s="46">
        <v>16721.9</v>
      </c>
      <c r="K26" s="39">
        <v>30</v>
      </c>
      <c r="L26" s="47" t="s">
        <v>31</v>
      </c>
      <c r="M26" s="1">
        <f>IF(B26="","",DATE(YEAR(B26),MONTH(B26),1))</f>
        <v>46266.0</v>
      </c>
      <c r="N26" s="1" t="str">
        <f>IF(D26="","",IF(E26="",'分类汇总'!$B$6,IFERROR(INDEX('分类汇总'!$B$6:$B$31,MATCH(E26,'分类汇总'!$C$6:$C$31,0)),"none")))</f>
        <v>支出</v>
      </c>
      <c r="O26" s="1" t="s">
        <v>78</v>
      </c>
      <c r="P26" s="1" t="s">
        <v>54</v>
      </c>
      <c r="Q26" s="1">
        <f>IF(AND(J26&lt;&gt;"",N26&lt;&gt;'分类汇总'!$B$28),J26,Q25)</f>
        <v>16721.9</v>
      </c>
      <c r="R26" s="1">
        <f>IF(OR(J26="",D26="",N26='分类汇总'!$B$28,Q25=""),0,IF(ABS(Q25+D26-J26)&gt;0.005,1,0))</f>
        <v>0.0</v>
      </c>
      <c r="T26" s="1" t="str">
        <f>IF(R26=1,Q25+D26,"")</f>
        <v/>
      </c>
      <c r="V26" s="1">
        <f>IF(D26="",1,IF(OR(ABS(D26-'读到的原样'!$A$26)&gt;0.005,B26&lt;&gt;'读到的原样'!$B$26),1,0))</f>
        <v>0.0</v>
      </c>
      <c r="W26" s="1">
        <f>IF(J26="",IF('读到的原样'!$C$26="",0,1),IF('读到的原样'!$C$26="",1,IF(ABS(J26-'读到的原样'!$C$26)&gt;0.005,1,0)))</f>
        <v>0.0</v>
      </c>
      <c r="X26" s="1">
        <f>IF(AND(N26='分类汇总'!$B$28,O26&lt;&gt;E26),1,0)</f>
        <v>0.0</v>
      </c>
      <c r="Y26" s="1">
        <f>IF(AND(U26=1,N26&lt;&gt;"借贷款项",N26&lt;&gt;'分类汇总'!$B$28,N26&lt;&gt;"未决定"),1,0)</f>
        <v>0.0</v>
      </c>
    </row>
    <row r="27" spans="1:25">
      <c r="A27" s="39">
        <v>22</v>
      </c>
      <c r="B27" s="40">
        <v>46279</v>
      </c>
      <c r="C27" s="41" t="s">
        <v>55</v>
      </c>
      <c r="D27" s="42">
        <v>-129</v>
      </c>
      <c r="E27" s="43" t="s">
        <v>56</v>
      </c>
      <c r="F27" s="44"/>
      <c r="G27" s="41" t="str">
        <f>IF(AND(E27="",D27=""),"",IF(OR(E27="",E27='分类汇总'!$C$6),"待你决定",IF(E27&lt;&gt;O27,"你定的",IF(F27&lt;&gt;"","你核对过",P27))))</f>
        <v>你说的</v>
      </c>
      <c r="H27" s="45" t="s">
        <v>57</v>
      </c>
      <c r="I27" s="45" t="s">
        <v>31</v>
      </c>
      <c r="J27" s="46">
        <v>16592.9</v>
      </c>
      <c r="K27" s="39">
        <v>31</v>
      </c>
      <c r="L27" s="47" t="s">
        <v>31</v>
      </c>
      <c r="M27" s="1">
        <f>IF(B27="","",DATE(YEAR(B27),MONTH(B27),1))</f>
        <v>46266.0</v>
      </c>
      <c r="N27" s="1" t="str">
        <f>IF(D27="","",IF(E27="",'分类汇总'!$B$6,IFERROR(INDEX('分类汇总'!$B$6:$B$31,MATCH(E27,'分类汇总'!$C$6:$C$31,0)),"none")))</f>
        <v>支出</v>
      </c>
      <c r="O27" s="1" t="s">
        <v>56</v>
      </c>
      <c r="P27" s="1" t="s">
        <v>32</v>
      </c>
      <c r="Q27" s="1">
        <f>IF(AND(J27&lt;&gt;"",N27&lt;&gt;'分类汇总'!$B$28),J27,Q26)</f>
        <v>16592.9</v>
      </c>
      <c r="R27" s="1">
        <f>IF(OR(J27="",D27="",N27='分类汇总'!$B$28,Q26=""),0,IF(ABS(Q26+D27-J27)&gt;0.005,1,0))</f>
        <v>0.0</v>
      </c>
      <c r="T27" s="1" t="str">
        <f>IF(R27=1,Q26+D27,"")</f>
        <v/>
      </c>
      <c r="V27" s="1">
        <f>IF(D27="",1,IF(OR(ABS(D27-'读到的原样'!$A$27)&gt;0.005,B27&lt;&gt;'读到的原样'!$B$27),1,0))</f>
        <v>0.0</v>
      </c>
      <c r="W27" s="1">
        <f>IF(J27="",IF('读到的原样'!$C$27="",0,1),IF('读到的原样'!$C$27="",1,IF(ABS(J27-'读到的原样'!$C$27)&gt;0.005,1,0)))</f>
        <v>0.0</v>
      </c>
      <c r="X27" s="1">
        <f>IF(AND(N27='分类汇总'!$B$28,O27&lt;&gt;E27),1,0)</f>
        <v>0.0</v>
      </c>
      <c r="Y27" s="1">
        <f>IF(AND(U27=1,N27&lt;&gt;"借贷款项",N27&lt;&gt;'分类汇总'!$B$28,N27&lt;&gt;"未决定"),1,0)</f>
        <v>0.0</v>
      </c>
    </row>
    <row r="28" spans="1:25">
      <c r="A28" s="39">
        <v>23</v>
      </c>
      <c r="B28" s="40">
        <v>46283</v>
      </c>
      <c r="C28" s="41" t="s">
        <v>80</v>
      </c>
      <c r="D28" s="42">
        <v>-28</v>
      </c>
      <c r="E28" s="43" t="s">
        <v>81</v>
      </c>
      <c r="F28" s="44"/>
      <c r="G28" s="41" t="str">
        <f>IF(AND(E28="",D28=""),"",IF(OR(E28="",E28='分类汇总'!$C$6),"待你决定",IF(E28&lt;&gt;O28,"你定的",IF(F28&lt;&gt;"","你核对过",P28))))</f>
        <v>我们的猜测，没核对</v>
      </c>
      <c r="H28" s="45" t="s">
        <v>82</v>
      </c>
      <c r="I28" s="45" t="s">
        <v>31</v>
      </c>
      <c r="J28" s="46">
        <v>16564.9</v>
      </c>
      <c r="K28" s="39">
        <v>32</v>
      </c>
      <c r="L28" s="47" t="s">
        <v>14</v>
      </c>
      <c r="M28" s="1">
        <f>IF(B28="","",DATE(YEAR(B28),MONTH(B28),1))</f>
        <v>46266.0</v>
      </c>
      <c r="N28" s="1" t="str">
        <f>IF(D28="","",IF(E28="",'分类汇总'!$B$6,IFERROR(INDEX('分类汇总'!$B$6:$B$31,MATCH(E28,'分类汇总'!$C$6:$C$31,0)),"none")))</f>
        <v>支出</v>
      </c>
      <c r="O28" s="1" t="s">
        <v>81</v>
      </c>
      <c r="P28" s="1" t="s">
        <v>54</v>
      </c>
      <c r="Q28" s="1">
        <f>IF(AND(J28&lt;&gt;"",N28&lt;&gt;'分类汇总'!$B$28),J28,Q27)</f>
        <v>16564.9</v>
      </c>
      <c r="R28" s="1">
        <f>IF(OR(J28="",D28="",N28='分类汇总'!$B$28,Q27=""),0,IF(ABS(Q27+D28-J28)&gt;0.005,1,0))</f>
        <v>0.0</v>
      </c>
      <c r="T28" s="1" t="str">
        <f>IF(R28=1,Q27+D28,"")</f>
        <v/>
      </c>
      <c r="V28" s="1">
        <f>IF(D28="",1,IF(OR(ABS(D28-'读到的原样'!$A$28)&gt;0.005,B28&lt;&gt;'读到的原样'!$B$28),1,0))</f>
        <v>0.0</v>
      </c>
      <c r="W28" s="1">
        <f>IF(J28="",IF('读到的原样'!$C$28="",0,1),IF('读到的原样'!$C$28="",1,IF(ABS(J28-'读到的原样'!$C$28)&gt;0.005,1,0)))</f>
        <v>0.0</v>
      </c>
      <c r="X28" s="1">
        <f>IF(AND(N28='分类汇总'!$B$28,O28&lt;&gt;E28),1,0)</f>
        <v>0.0</v>
      </c>
      <c r="Y28" s="1">
        <f>IF(AND(U28=1,N28&lt;&gt;"借贷款项",N28&lt;&gt;'分类汇总'!$B$28,N28&lt;&gt;"未决定"),1,0)</f>
        <v>0.0</v>
      </c>
    </row>
    <row r="29" spans="1:25">
      <c r="A29" s="39">
        <v>24</v>
      </c>
      <c r="B29" s="40">
        <v>46283</v>
      </c>
      <c r="C29" s="41" t="s">
        <v>80</v>
      </c>
      <c r="D29" s="42">
        <v>-28</v>
      </c>
      <c r="E29" s="43" t="s">
        <v>40</v>
      </c>
      <c r="F29" s="44"/>
      <c r="G29" s="41" t="str">
        <f>IF(AND(E29="",D29=""),"",IF(OR(E29="",E29='分类汇总'!$C$6),"待你决定",IF(E29&lt;&gt;O29,"你定的",IF(F29&lt;&gt;"","你核对过",P29))))</f>
        <v>待你决定</v>
      </c>
      <c r="H29" s="45" t="s">
        <v>83</v>
      </c>
      <c r="I29" s="45" t="s">
        <v>31</v>
      </c>
      <c r="J29" s="46">
        <v>16536.9</v>
      </c>
      <c r="K29" s="39">
        <v>33</v>
      </c>
      <c r="L29" s="47" t="s">
        <v>14</v>
      </c>
      <c r="M29" s="1">
        <f>IF(B29="","",DATE(YEAR(B29),MONTH(B29),1))</f>
        <v>46266.0</v>
      </c>
      <c r="N29" s="1" t="str">
        <f>IF(D29="","",IF(E29="",'分类汇总'!$B$6,IFERROR(INDEX('分类汇总'!$B$6:$B$31,MATCH(E29,'分类汇总'!$C$6:$C$31,0)),"none")))</f>
        <v>未决定</v>
      </c>
      <c r="O29" s="1" t="s">
        <v>40</v>
      </c>
      <c r="P29" s="1" t="s">
        <v>31</v>
      </c>
      <c r="Q29" s="1">
        <f>IF(AND(J29&lt;&gt;"",N29&lt;&gt;'分类汇总'!$B$28),J29,Q28)</f>
        <v>16536.9</v>
      </c>
      <c r="R29" s="1">
        <f>IF(OR(J29="",D29="",N29='分类汇总'!$B$28,Q28=""),0,IF(ABS(Q28+D29-J29)&gt;0.005,1,0))</f>
        <v>0.0</v>
      </c>
      <c r="T29" s="1" t="str">
        <f>IF(R29=1,Q28+D29,"")</f>
        <v/>
      </c>
      <c r="V29" s="1">
        <f>IF(D29="",1,IF(OR(ABS(D29-'读到的原样'!$A$29)&gt;0.005,B29&lt;&gt;'读到的原样'!$B$29),1,0))</f>
        <v>0.0</v>
      </c>
      <c r="W29" s="1">
        <f>IF(J29="",IF('读到的原样'!$C$29="",0,1),IF('读到的原样'!$C$29="",1,IF(ABS(J29-'读到的原样'!$C$29)&gt;0.005,1,0)))</f>
        <v>0.0</v>
      </c>
      <c r="X29" s="1">
        <f>IF(AND(N29='分类汇总'!$B$28,O29&lt;&gt;E29),1,0)</f>
        <v>0.0</v>
      </c>
      <c r="Y29" s="1">
        <f>IF(AND(U29=1,N29&lt;&gt;"借贷款项",N29&lt;&gt;'分类汇总'!$B$28,N29&lt;&gt;"未决定"),1,0)</f>
        <v>0.0</v>
      </c>
    </row>
    <row r="30" spans="1:25">
      <c r="A30" s="39">
        <v>25</v>
      </c>
      <c r="B30" s="40">
        <v>46287</v>
      </c>
      <c r="C30" s="41" t="s">
        <v>84</v>
      </c>
      <c r="D30" s="42">
        <v>-4200</v>
      </c>
      <c r="E30" s="43" t="s">
        <v>85</v>
      </c>
      <c r="F30" s="44"/>
      <c r="G30" s="41" t="str">
        <f>IF(AND(E30="",D30=""),"",IF(OR(E30="",E30='分类汇总'!$C$6),"待你决定",IF(E30&lt;&gt;O30,"你定的",IF(F30&lt;&gt;"","你核对过",P30))))</f>
        <v>你说的</v>
      </c>
      <c r="H30" s="45" t="s">
        <v>86</v>
      </c>
      <c r="I30" s="45" t="s">
        <v>31</v>
      </c>
      <c r="J30" s="46">
        <v>12336.9</v>
      </c>
      <c r="K30" s="39">
        <v>34</v>
      </c>
      <c r="L30" s="47" t="s">
        <v>31</v>
      </c>
      <c r="M30" s="1">
        <f>IF(B30="","",DATE(YEAR(B30),MONTH(B30),1))</f>
        <v>46266.0</v>
      </c>
      <c r="N30" s="1" t="str">
        <f>IF(D30="","",IF(E30="",'分类汇总'!$B$6,IFERROR(INDEX('分类汇总'!$B$6:$B$31,MATCH(E30,'分类汇总'!$C$6:$C$31,0)),"none")))</f>
        <v>税费和政府缴费</v>
      </c>
      <c r="O30" s="1" t="s">
        <v>85</v>
      </c>
      <c r="P30" s="1" t="s">
        <v>32</v>
      </c>
      <c r="Q30" s="1">
        <f>IF(AND(J30&lt;&gt;"",N30&lt;&gt;'分类汇总'!$B$28),J30,Q29)</f>
        <v>12336.9</v>
      </c>
      <c r="R30" s="1">
        <f>IF(OR(J30="",D30="",N30='分类汇总'!$B$28,Q29=""),0,IF(ABS(Q29+D30-J30)&gt;0.005,1,0))</f>
        <v>0.0</v>
      </c>
      <c r="T30" s="1" t="str">
        <f>IF(R30=1,Q29+D30,"")</f>
        <v/>
      </c>
      <c r="V30" s="1">
        <f>IF(D30="",1,IF(OR(ABS(D30-'读到的原样'!$A$30)&gt;0.005,B30&lt;&gt;'读到的原样'!$B$30),1,0))</f>
        <v>0.0</v>
      </c>
      <c r="W30" s="1">
        <f>IF(J30="",IF('读到的原样'!$C$30="",0,1),IF('读到的原样'!$C$30="",1,IF(ABS(J30-'读到的原样'!$C$30)&gt;0.005,1,0)))</f>
        <v>0.0</v>
      </c>
      <c r="X30" s="1">
        <f>IF(AND(N30='分类汇总'!$B$28,O30&lt;&gt;E30),1,0)</f>
        <v>0.0</v>
      </c>
      <c r="Y30" s="1">
        <f>IF(AND(U30=1,N30&lt;&gt;"借贷款项",N30&lt;&gt;'分类汇总'!$B$28,N30&lt;&gt;"未决定"),1,0)</f>
        <v>0.0</v>
      </c>
    </row>
    <row r="31" spans="1:25">
      <c r="A31" s="39">
        <v>26</v>
      </c>
      <c r="B31" s="40">
        <v>46291</v>
      </c>
      <c r="C31" s="41" t="s">
        <v>87</v>
      </c>
      <c r="D31" s="42">
        <v>188</v>
      </c>
      <c r="E31" s="43" t="s">
        <v>40</v>
      </c>
      <c r="F31" s="44"/>
      <c r="G31" s="41" t="str">
        <f>IF(AND(E31="",D31=""),"",IF(OR(E31="",E31='分类汇总'!$C$6),"待你决定",IF(E31&lt;&gt;O31,"你定的",IF(F31&lt;&gt;"","你核对过",P31))))</f>
        <v>待你决定</v>
      </c>
      <c r="H31" s="45" t="s">
        <v>88</v>
      </c>
      <c r="I31" s="45" t="s">
        <v>31</v>
      </c>
      <c r="J31" s="46">
        <v>12524.9</v>
      </c>
      <c r="K31" s="39">
        <v>35</v>
      </c>
      <c r="L31" s="47" t="s">
        <v>31</v>
      </c>
      <c r="M31" s="1">
        <f>IF(B31="","",DATE(YEAR(B31),MONTH(B31),1))</f>
        <v>46266.0</v>
      </c>
      <c r="N31" s="1" t="str">
        <f>IF(D31="","",IF(E31="",'分类汇总'!$B$6,IFERROR(INDEX('分类汇总'!$B$6:$B$31,MATCH(E31,'分类汇总'!$C$6:$C$31,0)),"none")))</f>
        <v>未决定</v>
      </c>
      <c r="O31" s="1" t="s">
        <v>40</v>
      </c>
      <c r="P31" s="1" t="s">
        <v>31</v>
      </c>
      <c r="Q31" s="1">
        <f>IF(AND(J31&lt;&gt;"",N31&lt;&gt;'分类汇总'!$B$28),J31,Q30)</f>
        <v>12524.9</v>
      </c>
      <c r="R31" s="1">
        <f>IF(OR(J31="",D31="",N31='分类汇总'!$B$28,Q30=""),0,IF(ABS(Q30+D31-J31)&gt;0.005,1,0))</f>
        <v>0.0</v>
      </c>
      <c r="T31" s="1" t="str">
        <f>IF(R31=1,Q30+D31,"")</f>
        <v/>
      </c>
      <c r="V31" s="1">
        <f>IF(D31="",1,IF(OR(ABS(D31-'读到的原样'!$A$31)&gt;0.005,B31&lt;&gt;'读到的原样'!$B$31),1,0))</f>
        <v>0.0</v>
      </c>
      <c r="W31" s="1">
        <f>IF(J31="",IF('读到的原样'!$C$31="",0,1),IF('读到的原样'!$C$31="",1,IF(ABS(J31-'读到的原样'!$C$31)&gt;0.005,1,0)))</f>
        <v>0.0</v>
      </c>
      <c r="X31" s="1">
        <f>IF(AND(N31='分类汇总'!$B$28,O31&lt;&gt;E31),1,0)</f>
        <v>0.0</v>
      </c>
      <c r="Y31" s="1">
        <f>IF(AND(U31=1,N31&lt;&gt;"借贷款项",N31&lt;&gt;'分类汇总'!$B$28,N31&lt;&gt;"未决定"),1,0)</f>
        <v>0.0</v>
      </c>
    </row>
    <row r="32" spans="1:25">
      <c r="A32" s="39">
        <v>27</v>
      </c>
      <c r="B32" s="40">
        <v>46293</v>
      </c>
      <c r="C32" s="41" t="s">
        <v>51</v>
      </c>
      <c r="D32" s="42">
        <v>-12</v>
      </c>
      <c r="E32" s="43" t="s">
        <v>52</v>
      </c>
      <c r="F32" s="44"/>
      <c r="G32" s="41" t="str">
        <f>IF(AND(E32="",D32=""),"",IF(OR(E32="",E32='分类汇总'!$C$6),"待你决定",IF(E32&lt;&gt;O32,"你定的",IF(F32&lt;&gt;"","你核对过",P32))))</f>
        <v>我们的猜测，没核对</v>
      </c>
      <c r="H32" s="45" t="s">
        <v>53</v>
      </c>
      <c r="I32" s="45" t="s">
        <v>31</v>
      </c>
      <c r="J32" s="46">
        <v>12512.9</v>
      </c>
      <c r="K32" s="39">
        <v>36</v>
      </c>
      <c r="L32" s="47" t="s">
        <v>31</v>
      </c>
      <c r="M32" s="1">
        <f>IF(B32="","",DATE(YEAR(B32),MONTH(B32),1))</f>
        <v>46266.0</v>
      </c>
      <c r="N32" s="1" t="str">
        <f>IF(D32="","",IF(E32="",'分类汇总'!$B$6,IFERROR(INDEX('分类汇总'!$B$6:$B$31,MATCH(E32,'分类汇总'!$C$6:$C$31,0)),"none")))</f>
        <v>支出</v>
      </c>
      <c r="O32" s="1" t="s">
        <v>52</v>
      </c>
      <c r="P32" s="1" t="s">
        <v>54</v>
      </c>
      <c r="Q32" s="1">
        <f>IF(AND(J32&lt;&gt;"",N32&lt;&gt;'分类汇总'!$B$28),J32,Q31)</f>
        <v>12512.9</v>
      </c>
      <c r="R32" s="1">
        <f>IF(OR(J32="",D32="",N32='分类汇总'!$B$28,Q31=""),0,IF(ABS(Q31+D32-J32)&gt;0.005,1,0))</f>
        <v>0.0</v>
      </c>
      <c r="T32" s="1" t="str">
        <f>IF(R32=1,Q31+D32,"")</f>
        <v/>
      </c>
      <c r="V32" s="1">
        <f>IF(D32="",1,IF(OR(ABS(D32-'读到的原样'!$A$32)&gt;0.005,B32&lt;&gt;'读到的原样'!$B$32),1,0))</f>
        <v>0.0</v>
      </c>
      <c r="W32" s="1">
        <f>IF(J32="",IF('读到的原样'!$C$32="",0,1),IF('读到的原样'!$C$32="",1,IF(ABS(J32-'读到的原样'!$C$32)&gt;0.005,1,0)))</f>
        <v>0.0</v>
      </c>
      <c r="X32" s="1">
        <f>IF(AND(N32='分类汇总'!$B$28,O32&lt;&gt;E32),1,0)</f>
        <v>0.0</v>
      </c>
      <c r="Y32" s="1">
        <f>IF(AND(U32=1,N32&lt;&gt;"借贷款项",N32&lt;&gt;'分类汇总'!$B$28,N32&lt;&gt;"未决定"),1,0)</f>
        <v>0.0</v>
      </c>
    </row>
    <row r="33" spans="1:25">
      <c r="A33" s="39">
        <v>28</v>
      </c>
      <c r="B33" s="40">
        <v>46296</v>
      </c>
      <c r="C33" s="41" t="s">
        <v>28</v>
      </c>
      <c r="D33" s="42">
        <v>-6500</v>
      </c>
      <c r="E33" s="43" t="s">
        <v>29</v>
      </c>
      <c r="F33" s="44"/>
      <c r="G33" s="41" t="str">
        <f>IF(AND(E33="",D33=""),"",IF(OR(E33="",E33='分类汇总'!$C$6),"待你决定",IF(E33&lt;&gt;O33,"你定的",IF(F33&lt;&gt;"","你核对过",P33))))</f>
        <v>你说的</v>
      </c>
      <c r="H33" s="45" t="s">
        <v>30</v>
      </c>
      <c r="I33" s="45" t="s">
        <v>31</v>
      </c>
      <c r="J33" s="46">
        <v>6012.9</v>
      </c>
      <c r="K33" s="39">
        <v>40</v>
      </c>
      <c r="L33" s="47" t="s">
        <v>31</v>
      </c>
      <c r="M33" s="1">
        <f>IF(B33="","",DATE(YEAR(B33),MONTH(B33),1))</f>
        <v>46296.0</v>
      </c>
      <c r="N33" s="1" t="str">
        <f>IF(D33="","",IF(E33="",'分类汇总'!$B$6,IFERROR(INDEX('分类汇总'!$B$6:$B$31,MATCH(E33,'分类汇总'!$C$6:$C$31,0)),"none")))</f>
        <v>支出</v>
      </c>
      <c r="O33" s="1" t="s">
        <v>29</v>
      </c>
      <c r="P33" s="1" t="s">
        <v>32</v>
      </c>
      <c r="Q33" s="1">
        <f>IF(AND(J33&lt;&gt;"",N33&lt;&gt;'分类汇总'!$B$28),J33,Q32)</f>
        <v>6012.9</v>
      </c>
      <c r="R33" s="1">
        <f>IF(OR(J33="",D33="",N33='分类汇总'!$B$28,Q32=""),0,IF(ABS(Q32+D33-J33)&gt;0.005,1,0))</f>
        <v>0.0</v>
      </c>
      <c r="T33" s="1" t="str">
        <f>IF(R33=1,Q32+D33,"")</f>
        <v/>
      </c>
      <c r="V33" s="1">
        <f>IF(D33="",1,IF(OR(ABS(D33-'读到的原样'!$A$33)&gt;0.005,B33&lt;&gt;'读到的原样'!$B$33),1,0))</f>
        <v>0.0</v>
      </c>
      <c r="W33" s="1">
        <f>IF(J33="",IF('读到的原样'!$C$33="",0,1),IF('读到的原样'!$C$33="",1,IF(ABS(J33-'读到的原样'!$C$33)&gt;0.005,1,0)))</f>
        <v>0.0</v>
      </c>
      <c r="X33" s="1">
        <f>IF(AND(N33='分类汇总'!$B$28,O33&lt;&gt;E33),1,0)</f>
        <v>0.0</v>
      </c>
      <c r="Y33" s="1">
        <f>IF(AND(U33=1,N33&lt;&gt;"借贷款项",N33&lt;&gt;'分类汇总'!$B$28,N33&lt;&gt;"未决定"),1,0)</f>
        <v>0.0</v>
      </c>
    </row>
    <row r="34" spans="1:25">
      <c r="A34" s="39">
        <v>29</v>
      </c>
      <c r="B34" s="40">
        <v>46298</v>
      </c>
      <c r="C34" s="41" t="s">
        <v>33</v>
      </c>
      <c r="D34" s="42">
        <v>11400</v>
      </c>
      <c r="E34" s="43" t="s">
        <v>34</v>
      </c>
      <c r="F34" s="44"/>
      <c r="G34" s="41" t="str">
        <f>IF(AND(E34="",D34=""),"",IF(OR(E34="",E34='分类汇总'!$C$6),"待你决定",IF(E34&lt;&gt;O34,"你定的",IF(F34&lt;&gt;"","你核对过",P34))))</f>
        <v>你说的</v>
      </c>
      <c r="H34" s="45" t="s">
        <v>35</v>
      </c>
      <c r="I34" s="45" t="s">
        <v>31</v>
      </c>
      <c r="J34" s="46">
        <v>17412.9</v>
      </c>
      <c r="K34" s="39">
        <v>41</v>
      </c>
      <c r="L34" s="47" t="s">
        <v>31</v>
      </c>
      <c r="M34" s="1">
        <f>IF(B34="","",DATE(YEAR(B34),MONTH(B34),1))</f>
        <v>46296.0</v>
      </c>
      <c r="N34" s="1" t="str">
        <f>IF(D34="","",IF(E34="",'分类汇总'!$B$6,IFERROR(INDEX('分类汇总'!$B$6:$B$31,MATCH(E34,'分类汇总'!$C$6:$C$31,0)),"none")))</f>
        <v>收入</v>
      </c>
      <c r="O34" s="1" t="s">
        <v>34</v>
      </c>
      <c r="P34" s="1" t="s">
        <v>32</v>
      </c>
      <c r="Q34" s="1">
        <f>IF(AND(J34&lt;&gt;"",N34&lt;&gt;'分类汇总'!$B$28),J34,Q33)</f>
        <v>17412.9</v>
      </c>
      <c r="R34" s="1">
        <f>IF(OR(J34="",D34="",N34='分类汇总'!$B$28,Q33=""),0,IF(ABS(Q33+D34-J34)&gt;0.005,1,0))</f>
        <v>0.0</v>
      </c>
      <c r="T34" s="1" t="str">
        <f>IF(R34=1,Q33+D34,"")</f>
        <v/>
      </c>
      <c r="V34" s="1">
        <f>IF(D34="",1,IF(OR(ABS(D34-'读到的原样'!$A$34)&gt;0.005,B34&lt;&gt;'读到的原样'!$B$34),1,0))</f>
        <v>0.0</v>
      </c>
      <c r="W34" s="1">
        <f>IF(J34="",IF('读到的原样'!$C$34="",0,1),IF('读到的原样'!$C$34="",1,IF(ABS(J34-'读到的原样'!$C$34)&gt;0.005,1,0)))</f>
        <v>0.0</v>
      </c>
      <c r="X34" s="1">
        <f>IF(AND(N34='分类汇总'!$B$28,O34&lt;&gt;E34),1,0)</f>
        <v>0.0</v>
      </c>
      <c r="Y34" s="1">
        <f>IF(AND(U34=1,N34&lt;&gt;"借贷款项",N34&lt;&gt;'分类汇总'!$B$28,N34&lt;&gt;"未决定"),1,0)</f>
        <v>0.0</v>
      </c>
    </row>
    <row r="35" spans="1:25">
      <c r="A35" s="39">
        <v>30</v>
      </c>
      <c r="B35" s="40">
        <v>46301</v>
      </c>
      <c r="C35" s="41" t="s">
        <v>89</v>
      </c>
      <c r="D35" s="42">
        <v>-246</v>
      </c>
      <c r="E35" s="43" t="s">
        <v>40</v>
      </c>
      <c r="F35" s="44"/>
      <c r="G35" s="41" t="str">
        <f>IF(AND(E35="",D35=""),"",IF(OR(E35="",E35='分类汇总'!$C$6),"待你决定",IF(E35&lt;&gt;O35,"你定的",IF(F35&lt;&gt;"","你核对过",P35))))</f>
        <v>待你决定</v>
      </c>
      <c r="H35" s="45" t="s">
        <v>90</v>
      </c>
      <c r="I35" s="45" t="s">
        <v>48</v>
      </c>
      <c r="J35" s="46">
        <v>17166.9</v>
      </c>
      <c r="K35" s="39">
        <v>42</v>
      </c>
      <c r="L35" s="47" t="s">
        <v>31</v>
      </c>
      <c r="M35" s="1">
        <f>IF(B35="","",DATE(YEAR(B35),MONTH(B35),1))</f>
        <v>46296.0</v>
      </c>
      <c r="N35" s="1" t="str">
        <f>IF(D35="","",IF(E35="",'分类汇总'!$B$6,IFERROR(INDEX('分类汇总'!$B$6:$B$31,MATCH(E35,'分类汇总'!$C$6:$C$31,0)),"none")))</f>
        <v>未决定</v>
      </c>
      <c r="O35" s="1" t="s">
        <v>40</v>
      </c>
      <c r="P35" s="1" t="s">
        <v>31</v>
      </c>
      <c r="Q35" s="1">
        <f>IF(AND(J35&lt;&gt;"",N35&lt;&gt;'分类汇总'!$B$28),J35,Q34)</f>
        <v>17166.9</v>
      </c>
      <c r="R35" s="1">
        <f>IF(OR(J35="",D35="",N35='分类汇总'!$B$28,Q34=""),0,IF(ABS(Q34+D35-J35)&gt;0.005,1,0))</f>
        <v>0.0</v>
      </c>
      <c r="T35" s="1" t="str">
        <f>IF(R35=1,Q34+D35,"")</f>
        <v/>
      </c>
      <c r="V35" s="1">
        <f>IF(D35="",1,IF(OR(ABS(D35-'读到的原样'!$A$35)&gt;0.005,B35&lt;&gt;'读到的原样'!$B$35),1,0))</f>
        <v>0.0</v>
      </c>
      <c r="W35" s="1">
        <f>IF(J35="",IF('读到的原样'!$C$35="",0,1),IF('读到的原样'!$C$35="",1,IF(ABS(J35-'读到的原样'!$C$35)&gt;0.005,1,0)))</f>
        <v>0.0</v>
      </c>
      <c r="X35" s="1">
        <f>IF(AND(N35='分类汇总'!$B$28,O35&lt;&gt;E35),1,0)</f>
        <v>0.0</v>
      </c>
      <c r="Y35" s="1">
        <f>IF(AND(U35=1,N35&lt;&gt;"借贷款项",N35&lt;&gt;'分类汇总'!$B$28,N35&lt;&gt;"未决定"),1,0)</f>
        <v>0.0</v>
      </c>
    </row>
    <row r="36" spans="1:25">
      <c r="A36" s="39">
        <v>31</v>
      </c>
      <c r="B36" s="40">
        <v>46303</v>
      </c>
      <c r="C36" s="41" t="s">
        <v>91</v>
      </c>
      <c r="D36" s="42">
        <v>-387.6</v>
      </c>
      <c r="E36" s="43" t="s">
        <v>40</v>
      </c>
      <c r="F36" s="44"/>
      <c r="G36" s="41" t="str">
        <f>IF(AND(E36="",D36=""),"",IF(OR(E36="",E36='分类汇总'!$C$6),"待你决定",IF(E36&lt;&gt;O36,"你定的",IF(F36&lt;&gt;"","你核对过",P36))))</f>
        <v>待你决定</v>
      </c>
      <c r="H36" s="45" t="s">
        <v>41</v>
      </c>
      <c r="I36" s="45" t="s">
        <v>42</v>
      </c>
      <c r="J36" s="46">
        <v>16779.3</v>
      </c>
      <c r="K36" s="39">
        <v>43</v>
      </c>
      <c r="L36" s="47" t="s">
        <v>31</v>
      </c>
      <c r="M36" s="1">
        <f>IF(B36="","",DATE(YEAR(B36),MONTH(B36),1))</f>
        <v>46296.0</v>
      </c>
      <c r="N36" s="1" t="str">
        <f>IF(D36="","",IF(E36="",'分类汇总'!$B$6,IFERROR(INDEX('分类汇总'!$B$6:$B$31,MATCH(E36,'分类汇总'!$C$6:$C$31,0)),"none")))</f>
        <v>未决定</v>
      </c>
      <c r="O36" s="1" t="s">
        <v>40</v>
      </c>
      <c r="P36" s="1" t="s">
        <v>31</v>
      </c>
      <c r="Q36" s="1">
        <f>IF(AND(J36&lt;&gt;"",N36&lt;&gt;'分类汇总'!$B$28),J36,Q35)</f>
        <v>16779.3</v>
      </c>
      <c r="R36" s="1">
        <f>IF(OR(J36="",D36="",N36='分类汇总'!$B$28,Q35=""),0,IF(ABS(Q35+D36-J36)&gt;0.005,1,0))</f>
        <v>0.0</v>
      </c>
      <c r="T36" s="1" t="str">
        <f>IF(R36=1,Q35+D36,"")</f>
        <v/>
      </c>
      <c r="V36" s="1">
        <f>IF(D36="",1,IF(OR(ABS(D36-'读到的原样'!$A$36)&gt;0.005,B36&lt;&gt;'读到的原样'!$B$36),1,0))</f>
        <v>0.0</v>
      </c>
      <c r="W36" s="1">
        <f>IF(J36="",IF('读到的原样'!$C$36="",0,1),IF('读到的原样'!$C$36="",1,IF(ABS(J36-'读到的原样'!$C$36)&gt;0.005,1,0)))</f>
        <v>0.0</v>
      </c>
      <c r="X36" s="1">
        <f>IF(AND(N36='分类汇总'!$B$28,O36&lt;&gt;E36),1,0)</f>
        <v>0.0</v>
      </c>
      <c r="Y36" s="1">
        <f>IF(AND(U36=1,N36&lt;&gt;"借贷款项",N36&lt;&gt;'分类汇总'!$B$28,N36&lt;&gt;"未决定"),1,0)</f>
        <v>0.0</v>
      </c>
    </row>
    <row r="37" spans="1:25">
      <c r="A37" s="39">
        <v>32</v>
      </c>
      <c r="B37" s="40">
        <v>46304</v>
      </c>
      <c r="C37" s="41" t="s">
        <v>43</v>
      </c>
      <c r="D37" s="42">
        <v>-4000</v>
      </c>
      <c r="E37" s="43" t="s">
        <v>44</v>
      </c>
      <c r="F37" s="44"/>
      <c r="G37" s="41" t="str">
        <f>IF(AND(E37="",D37=""),"",IF(OR(E37="",E37='分类汇总'!$C$6),"待你决定",IF(E37&lt;&gt;O37,"你定的",IF(F37&lt;&gt;"","你核对过",P37))))</f>
        <v>你说的</v>
      </c>
      <c r="H37" s="45" t="s">
        <v>45</v>
      </c>
      <c r="I37" s="45" t="s">
        <v>31</v>
      </c>
      <c r="J37" s="46">
        <v>12779.3</v>
      </c>
      <c r="K37" s="39">
        <v>44</v>
      </c>
      <c r="L37" s="47" t="s">
        <v>31</v>
      </c>
      <c r="M37" s="1">
        <f>IF(B37="","",DATE(YEAR(B37),MONTH(B37),1))</f>
        <v>46296.0</v>
      </c>
      <c r="N37" s="1" t="str">
        <f>IF(D37="","",IF(E37="",'分类汇总'!$B$6,IFERROR(INDEX('分类汇总'!$B$6:$B$31,MATCH(E37,'分类汇总'!$C$6:$C$31,0)),"none")))</f>
        <v>自己账户之间转账</v>
      </c>
      <c r="O37" s="1" t="s">
        <v>44</v>
      </c>
      <c r="P37" s="1" t="s">
        <v>32</v>
      </c>
      <c r="Q37" s="1">
        <f>IF(AND(J37&lt;&gt;"",N37&lt;&gt;'分类汇总'!$B$28),J37,Q36)</f>
        <v>12779.3</v>
      </c>
      <c r="R37" s="1">
        <f>IF(OR(J37="",D37="",N37='分类汇总'!$B$28,Q36=""),0,IF(ABS(Q36+D37-J37)&gt;0.005,1,0))</f>
        <v>0.0</v>
      </c>
      <c r="T37" s="1" t="str">
        <f>IF(R37=1,Q36+D37,"")</f>
        <v/>
      </c>
      <c r="V37" s="1">
        <f>IF(D37="",1,IF(OR(ABS(D37-'读到的原样'!$A$37)&gt;0.005,B37&lt;&gt;'读到的原样'!$B$37),1,0))</f>
        <v>0.0</v>
      </c>
      <c r="W37" s="1">
        <f>IF(J37="",IF('读到的原样'!$C$37="",0,1),IF('读到的原样'!$C$37="",1,IF(ABS(J37-'读到的原样'!$C$37)&gt;0.005,1,0)))</f>
        <v>0.0</v>
      </c>
      <c r="X37" s="1">
        <f>IF(AND(N37='分类汇总'!$B$28,O37&lt;&gt;E37),1,0)</f>
        <v>0.0</v>
      </c>
      <c r="Y37" s="1">
        <f>IF(AND(U37=1,N37&lt;&gt;"借贷款项",N37&lt;&gt;'分类汇总'!$B$28,N37&lt;&gt;"未决定"),1,0)</f>
        <v>0.0</v>
      </c>
    </row>
    <row r="38" spans="1:25">
      <c r="A38" s="39">
        <v>33</v>
      </c>
      <c r="B38" s="40">
        <v>46309</v>
      </c>
      <c r="C38" s="41" t="s">
        <v>55</v>
      </c>
      <c r="D38" s="42">
        <v>-129</v>
      </c>
      <c r="E38" s="43" t="s">
        <v>56</v>
      </c>
      <c r="F38" s="44"/>
      <c r="G38" s="41" t="str">
        <f>IF(AND(E38="",D38=""),"",IF(OR(E38="",E38='分类汇总'!$C$6),"待你决定",IF(E38&lt;&gt;O38,"你定的",IF(F38&lt;&gt;"","你核对过",P38))))</f>
        <v>你说的</v>
      </c>
      <c r="H38" s="45" t="s">
        <v>57</v>
      </c>
      <c r="I38" s="45" t="s">
        <v>31</v>
      </c>
      <c r="J38" s="46">
        <v>12650.3</v>
      </c>
      <c r="K38" s="39">
        <v>45</v>
      </c>
      <c r="L38" s="47" t="s">
        <v>31</v>
      </c>
      <c r="M38" s="1">
        <f>IF(B38="","",DATE(YEAR(B38),MONTH(B38),1))</f>
        <v>46296.0</v>
      </c>
      <c r="N38" s="1" t="str">
        <f>IF(D38="","",IF(E38="",'分类汇总'!$B$6,IFERROR(INDEX('分类汇总'!$B$6:$B$31,MATCH(E38,'分类汇总'!$C$6:$C$31,0)),"none")))</f>
        <v>支出</v>
      </c>
      <c r="O38" s="1" t="s">
        <v>56</v>
      </c>
      <c r="P38" s="1" t="s">
        <v>32</v>
      </c>
      <c r="Q38" s="1">
        <f>IF(AND(J38&lt;&gt;"",N38&lt;&gt;'分类汇总'!$B$28),J38,Q37)</f>
        <v>12650.3</v>
      </c>
      <c r="R38" s="1">
        <f>IF(OR(J38="",D38="",N38='分类汇总'!$B$28,Q37=""),0,IF(ABS(Q37+D38-J38)&gt;0.005,1,0))</f>
        <v>0.0</v>
      </c>
      <c r="T38" s="1" t="str">
        <f>IF(R38=1,Q37+D38,"")</f>
        <v/>
      </c>
      <c r="V38" s="1">
        <f>IF(D38="",1,IF(OR(ABS(D38-'读到的原样'!$A$38)&gt;0.005,B38&lt;&gt;'读到的原样'!$B$38),1,0))</f>
        <v>0.0</v>
      </c>
      <c r="W38" s="1">
        <f>IF(J38="",IF('读到的原样'!$C$38="",0,1),IF('读到的原样'!$C$38="",1,IF(ABS(J38-'读到的原样'!$C$38)&gt;0.005,1,0)))</f>
        <v>0.0</v>
      </c>
      <c r="X38" s="1">
        <f>IF(AND(N38='分类汇总'!$B$28,O38&lt;&gt;E38),1,0)</f>
        <v>0.0</v>
      </c>
      <c r="Y38" s="1">
        <f>IF(AND(U38=1,N38&lt;&gt;"借贷款项",N38&lt;&gt;'分类汇总'!$B$28,N38&lt;&gt;"未决定"),1,0)</f>
        <v>0.0</v>
      </c>
    </row>
    <row r="39" spans="1:25">
      <c r="A39" s="39">
        <v>34</v>
      </c>
      <c r="B39" s="40">
        <v>46310</v>
      </c>
      <c r="C39" s="41" t="s">
        <v>60</v>
      </c>
      <c r="D39" s="42">
        <v>3800</v>
      </c>
      <c r="E39" s="43" t="s">
        <v>34</v>
      </c>
      <c r="F39" s="44"/>
      <c r="G39" s="41" t="str">
        <f>IF(AND(E39="",D39=""),"",IF(OR(E39="",E39='分类汇总'!$C$6),"待你决定",IF(E39&lt;&gt;O39,"你定的",IF(F39&lt;&gt;"","你核对过",P39))))</f>
        <v>你说的</v>
      </c>
      <c r="H39" s="45" t="s">
        <v>61</v>
      </c>
      <c r="I39" s="45" t="s">
        <v>31</v>
      </c>
      <c r="J39" s="46">
        <v>16450.3</v>
      </c>
      <c r="K39" s="39">
        <v>46</v>
      </c>
      <c r="L39" s="47" t="s">
        <v>31</v>
      </c>
      <c r="M39" s="1">
        <f>IF(B39="","",DATE(YEAR(B39),MONTH(B39),1))</f>
        <v>46296.0</v>
      </c>
      <c r="N39" s="1" t="str">
        <f>IF(D39="","",IF(E39="",'分类汇总'!$B$6,IFERROR(INDEX('分类汇总'!$B$6:$B$31,MATCH(E39,'分类汇总'!$C$6:$C$31,0)),"none")))</f>
        <v>收入</v>
      </c>
      <c r="O39" s="1" t="s">
        <v>34</v>
      </c>
      <c r="P39" s="1" t="s">
        <v>32</v>
      </c>
      <c r="Q39" s="1">
        <f>IF(AND(J39&lt;&gt;"",N39&lt;&gt;'分类汇总'!$B$28),J39,Q38)</f>
        <v>16450.3</v>
      </c>
      <c r="R39" s="1">
        <f>IF(OR(J39="",D39="",N39='分类汇总'!$B$28,Q38=""),0,IF(ABS(Q38+D39-J39)&gt;0.005,1,0))</f>
        <v>0.0</v>
      </c>
      <c r="T39" s="1" t="str">
        <f>IF(R39=1,Q38+D39,"")</f>
        <v/>
      </c>
      <c r="V39" s="1">
        <f>IF(D39="",1,IF(OR(ABS(D39-'读到的原样'!$A$39)&gt;0.005,B39&lt;&gt;'读到的原样'!$B$39),1,0))</f>
        <v>0.0</v>
      </c>
      <c r="W39" s="1">
        <f>IF(J39="",IF('读到的原样'!$C$39="",0,1),IF('读到的原样'!$C$39="",1,IF(ABS(J39-'读到的原样'!$C$39)&gt;0.005,1,0)))</f>
        <v>0.0</v>
      </c>
      <c r="X39" s="1">
        <f>IF(AND(N39='分类汇总'!$B$28,O39&lt;&gt;E39),1,0)</f>
        <v>0.0</v>
      </c>
      <c r="Y39" s="1">
        <f>IF(AND(U39=1,N39&lt;&gt;"借贷款项",N39&lt;&gt;'分类汇总'!$B$28,N39&lt;&gt;"未决定"),1,0)</f>
        <v>0.0</v>
      </c>
    </row>
    <row r="40" spans="1:25">
      <c r="A40" s="39">
        <v>35</v>
      </c>
      <c r="B40" s="40">
        <v>46315</v>
      </c>
      <c r="C40" s="41" t="s">
        <v>92</v>
      </c>
      <c r="D40" s="42">
        <v>-2600</v>
      </c>
      <c r="E40" s="43" t="s">
        <v>40</v>
      </c>
      <c r="F40" s="44"/>
      <c r="G40" s="41" t="str">
        <f>IF(AND(E40="",D40=""),"",IF(OR(E40="",E40='分类汇总'!$C$6),"待你决定",IF(E40&lt;&gt;O40,"你定的",IF(F40&lt;&gt;"","你核对过",P40))))</f>
        <v>待你决定</v>
      </c>
      <c r="H40" s="45" t="s">
        <v>93</v>
      </c>
      <c r="I40" s="45" t="s">
        <v>94</v>
      </c>
      <c r="J40" s="46">
        <v>13850.3</v>
      </c>
      <c r="K40" s="39">
        <v>47</v>
      </c>
      <c r="L40" s="47" t="s">
        <v>31</v>
      </c>
      <c r="M40" s="1">
        <f>IF(B40="","",DATE(YEAR(B40),MONTH(B40),1))</f>
        <v>46296.0</v>
      </c>
      <c r="N40" s="1" t="str">
        <f>IF(D40="","",IF(E40="",'分类汇总'!$B$6,IFERROR(INDEX('分类汇总'!$B$6:$B$31,MATCH(E40,'分类汇总'!$C$6:$C$31,0)),"none")))</f>
        <v>未决定</v>
      </c>
      <c r="O40" s="1" t="s">
        <v>40</v>
      </c>
      <c r="P40" s="1" t="s">
        <v>31</v>
      </c>
      <c r="Q40" s="1">
        <f>IF(AND(J40&lt;&gt;"",N40&lt;&gt;'分类汇总'!$B$28),J40,Q39)</f>
        <v>13850.3</v>
      </c>
      <c r="R40" s="1">
        <f>IF(OR(J40="",D40="",N40='分类汇总'!$B$28,Q39=""),0,IF(ABS(Q39+D40-J40)&gt;0.005,1,0))</f>
        <v>0.0</v>
      </c>
      <c r="T40" s="1" t="str">
        <f>IF(R40=1,Q39+D40,"")</f>
        <v/>
      </c>
      <c r="U40" s="1">
        <v>1</v>
      </c>
      <c r="V40" s="1">
        <f>IF(D40="",1,IF(OR(ABS(D40-'读到的原样'!$A$40)&gt;0.005,B40&lt;&gt;'读到的原样'!$B$40),1,0))</f>
        <v>0.0</v>
      </c>
      <c r="W40" s="1">
        <f>IF(J40="",IF('读到的原样'!$C$40="",0,1),IF('读到的原样'!$C$40="",1,IF(ABS(J40-'读到的原样'!$C$40)&gt;0.005,1,0)))</f>
        <v>0.0</v>
      </c>
      <c r="X40" s="1">
        <f>IF(AND(N40='分类汇总'!$B$28,O40&lt;&gt;E40),1,0)</f>
        <v>0.0</v>
      </c>
      <c r="Y40" s="1">
        <f>IF(AND(U40=1,N40&lt;&gt;"借贷款项",N40&lt;&gt;'分类汇总'!$B$28,N40&lt;&gt;"未决定"),1,0)</f>
        <v>0.0</v>
      </c>
    </row>
    <row r="41" spans="1:25">
      <c r="A41" s="39">
        <v>36</v>
      </c>
      <c r="B41" s="40">
        <v>46322</v>
      </c>
      <c r="C41" s="41" t="s">
        <v>95</v>
      </c>
      <c r="D41" s="42">
        <v>-1800</v>
      </c>
      <c r="E41" s="43" t="s">
        <v>40</v>
      </c>
      <c r="F41" s="44"/>
      <c r="G41" s="41" t="str">
        <f>IF(AND(E41="",D41=""),"",IF(OR(E41="",E41='分类汇总'!$C$6),"待你决定",IF(E41&lt;&gt;O41,"你定的",IF(F41&lt;&gt;"","你核对过",P41))))</f>
        <v>待你决定</v>
      </c>
      <c r="H41" s="45" t="s">
        <v>96</v>
      </c>
      <c r="I41" s="45" t="s">
        <v>31</v>
      </c>
      <c r="J41" s="46">
        <v>12050.3</v>
      </c>
      <c r="K41" s="39">
        <v>48</v>
      </c>
      <c r="L41" s="47" t="s">
        <v>31</v>
      </c>
      <c r="M41" s="1">
        <f>IF(B41="","",DATE(YEAR(B41),MONTH(B41),1))</f>
        <v>46296.0</v>
      </c>
      <c r="N41" s="1" t="str">
        <f>IF(D41="","",IF(E41="",'分类汇总'!$B$6,IFERROR(INDEX('分类汇总'!$B$6:$B$31,MATCH(E41,'分类汇总'!$C$6:$C$31,0)),"none")))</f>
        <v>未决定</v>
      </c>
      <c r="O41" s="1" t="s">
        <v>40</v>
      </c>
      <c r="P41" s="1" t="s">
        <v>31</v>
      </c>
      <c r="Q41" s="1">
        <f>IF(AND(J41&lt;&gt;"",N41&lt;&gt;'分类汇总'!$B$28),J41,Q40)</f>
        <v>12050.3</v>
      </c>
      <c r="R41" s="1">
        <f>IF(OR(J41="",D41="",N41='分类汇总'!$B$28,Q40=""),0,IF(ABS(Q40+D41-J41)&gt;0.005,1,0))</f>
        <v>0.0</v>
      </c>
      <c r="T41" s="1" t="str">
        <f>IF(R41=1,Q40+D41,"")</f>
        <v/>
      </c>
      <c r="V41" s="1">
        <f>IF(D41="",1,IF(OR(ABS(D41-'读到的原样'!$A$41)&gt;0.005,B41&lt;&gt;'读到的原样'!$B$41),1,0))</f>
        <v>0.0</v>
      </c>
      <c r="W41" s="1">
        <f>IF(J41="",IF('读到的原样'!$C$41="",0,1),IF('读到的原样'!$C$41="",1,IF(ABS(J41-'读到的原样'!$C$41)&gt;0.005,1,0)))</f>
        <v>0.0</v>
      </c>
      <c r="X41" s="1">
        <f>IF(AND(N41='分类汇总'!$B$28,O41&lt;&gt;E41),1,0)</f>
        <v>0.0</v>
      </c>
      <c r="Y41" s="1">
        <f>IF(AND(U41=1,N41&lt;&gt;"借贷款项",N41&lt;&gt;'分类汇总'!$B$28,N41&lt;&gt;"未决定"),1,0)</f>
        <v>0.0</v>
      </c>
    </row>
    <row r="42" spans="1:25">
      <c r="A42" s="39">
        <v>37</v>
      </c>
      <c r="B42" s="40">
        <v>46325</v>
      </c>
      <c r="C42" s="41" t="s">
        <v>97</v>
      </c>
      <c r="D42" s="42">
        <v>12.5</v>
      </c>
      <c r="E42" s="43" t="s">
        <v>98</v>
      </c>
      <c r="F42" s="44"/>
      <c r="G42" s="41" t="str">
        <f>IF(AND(E42="",D42=""),"",IF(OR(E42="",E42='分类汇总'!$C$6),"待你决定",IF(E42&lt;&gt;O42,"你定的",IF(F42&lt;&gt;"","你核对过",P42))))</f>
        <v>我们的猜测，没核对</v>
      </c>
      <c r="H42" s="45" t="s">
        <v>99</v>
      </c>
      <c r="I42" s="45" t="s">
        <v>31</v>
      </c>
      <c r="J42" s="46">
        <v>12062.8</v>
      </c>
      <c r="K42" s="39">
        <v>49</v>
      </c>
      <c r="L42" s="47" t="s">
        <v>31</v>
      </c>
      <c r="M42" s="1">
        <f>IF(B42="","",DATE(YEAR(B42),MONTH(B42),1))</f>
        <v>46296.0</v>
      </c>
      <c r="N42" s="1" t="str">
        <f>IF(D42="","",IF(E42="",'分类汇总'!$B$6,IFERROR(INDEX('分类汇总'!$B$6:$B$31,MATCH(E42,'分类汇总'!$C$6:$C$31,0)),"none")))</f>
        <v>收入</v>
      </c>
      <c r="O42" s="1" t="s">
        <v>98</v>
      </c>
      <c r="P42" s="1" t="s">
        <v>54</v>
      </c>
      <c r="Q42" s="1">
        <f>IF(AND(J42&lt;&gt;"",N42&lt;&gt;'分类汇总'!$B$28),J42,Q41)</f>
        <v>12062.8</v>
      </c>
      <c r="R42" s="1">
        <f>IF(OR(J42="",D42="",N42='分类汇总'!$B$28,Q41=""),0,IF(ABS(Q41+D42-J42)&gt;0.005,1,0))</f>
        <v>0.0</v>
      </c>
      <c r="T42" s="1" t="str">
        <f>IF(R42=1,Q41+D42,"")</f>
        <v/>
      </c>
      <c r="V42" s="1">
        <f>IF(D42="",1,IF(OR(ABS(D42-'读到的原样'!$A$42)&gt;0.005,B42&lt;&gt;'读到的原样'!$B$42),1,0))</f>
        <v>0.0</v>
      </c>
      <c r="W42" s="1">
        <f>IF(J42="",IF('读到的原样'!$C$42="",0,1),IF('读到的原样'!$C$42="",1,IF(ABS(J42-'读到的原样'!$C$42)&gt;0.005,1,0)))</f>
        <v>0.0</v>
      </c>
      <c r="X42" s="1">
        <f>IF(AND(N42='分类汇总'!$B$28,O42&lt;&gt;E42),1,0)</f>
        <v>0.0</v>
      </c>
      <c r="Y42" s="1">
        <f>IF(AND(U42=1,N42&lt;&gt;"借贷款项",N42&lt;&gt;'分类汇总'!$B$28,N42&lt;&gt;"未决定"),1,0)</f>
        <v>0.0</v>
      </c>
    </row>
    <row r="43" spans="1:25">
      <c r="A43" s="41"/>
      <c r="B43" s="48"/>
      <c r="C43" s="43"/>
      <c r="D43" s="49"/>
      <c r="E43" s="43"/>
      <c r="F43" s="44"/>
      <c r="G43" s="41" t="str">
        <f>IF(AND(E43="",D43=""),"",IF(OR(E43="",E43='分类汇总'!$C$6),"待你决定",IF(E43&lt;&gt;O43,"你定的",IF(F43&lt;&gt;"","你核对过",P43))))</f>
        <v/>
      </c>
      <c r="M43" s="1" t="str">
        <f>IF(B43="","",DATE(YEAR(B43),MONTH(B43),1))</f>
        <v/>
      </c>
      <c r="N43" s="1" t="str">
        <f>IF(D43="","",IF(E43="",'分类汇总'!$B$6,IFERROR(INDEX('分类汇总'!$B$6:$B$31,MATCH(E43,'分类汇总'!$C$6:$C$31,0)),"none")))</f>
        <v/>
      </c>
      <c r="Q43" s="1">
        <f>IF(AND(J43&lt;&gt;"",N43&lt;&gt;'分类汇总'!$B$28),J43,Q42)</f>
        <v>12062.8</v>
      </c>
      <c r="R43" s="1">
        <f>IF(OR(J43="",D43="",N43='分类汇总'!$B$28,Q42=""),0,IF(ABS(Q42+D43-J43)&gt;0.005,1,0))</f>
        <v>0.0</v>
      </c>
      <c r="T43" s="1" t="str">
        <f>IF(R43=1,Q42+D43,"")</f>
        <v/>
      </c>
    </row>
    <row r="44" spans="1:25">
      <c r="A44" s="41"/>
      <c r="B44" s="48"/>
      <c r="C44" s="43"/>
      <c r="D44" s="49"/>
      <c r="E44" s="43"/>
      <c r="F44" s="44"/>
      <c r="G44" s="41" t="str">
        <f>IF(AND(E44="",D44=""),"",IF(OR(E44="",E44='分类汇总'!$C$6),"待你决定",IF(E44&lt;&gt;O44,"你定的",IF(F44&lt;&gt;"","你核对过",P44))))</f>
        <v/>
      </c>
      <c r="M44" s="1" t="str">
        <f>IF(B44="","",DATE(YEAR(B44),MONTH(B44),1))</f>
        <v/>
      </c>
      <c r="N44" s="1" t="str">
        <f>IF(D44="","",IF(E44="",'分类汇总'!$B$6,IFERROR(INDEX('分类汇总'!$B$6:$B$31,MATCH(E44,'分类汇总'!$C$6:$C$31,0)),"none")))</f>
        <v/>
      </c>
      <c r="Q44" s="1">
        <f>IF(AND(J44&lt;&gt;"",N44&lt;&gt;'分类汇总'!$B$28),J44,Q43)</f>
        <v>12062.8</v>
      </c>
      <c r="R44" s="1">
        <f>IF(OR(J44="",D44="",N44='分类汇总'!$B$28,Q43=""),0,IF(ABS(Q43+D44-J44)&gt;0.005,1,0))</f>
        <v>0.0</v>
      </c>
      <c r="T44" s="1" t="str">
        <f>IF(R44=1,Q43+D44,"")</f>
        <v/>
      </c>
    </row>
    <row r="45" spans="1:25">
      <c r="A45" s="41"/>
      <c r="B45" s="48"/>
      <c r="C45" s="43"/>
      <c r="D45" s="49"/>
      <c r="E45" s="43"/>
      <c r="F45" s="44"/>
      <c r="G45" s="41" t="str">
        <f>IF(AND(E45="",D45=""),"",IF(OR(E45="",E45='分类汇总'!$C$6),"待你决定",IF(E45&lt;&gt;O45,"你定的",IF(F45&lt;&gt;"","你核对过",P45))))</f>
        <v/>
      </c>
      <c r="M45" s="1" t="str">
        <f>IF(B45="","",DATE(YEAR(B45),MONTH(B45),1))</f>
        <v/>
      </c>
      <c r="N45" s="1" t="str">
        <f>IF(D45="","",IF(E45="",'分类汇总'!$B$6,IFERROR(INDEX('分类汇总'!$B$6:$B$31,MATCH(E45,'分类汇总'!$C$6:$C$31,0)),"none")))</f>
        <v/>
      </c>
      <c r="Q45" s="1">
        <f>IF(AND(J45&lt;&gt;"",N45&lt;&gt;'分类汇总'!$B$28),J45,Q44)</f>
        <v>12062.8</v>
      </c>
      <c r="R45" s="1">
        <f>IF(OR(J45="",D45="",N45='分类汇总'!$B$28,Q44=""),0,IF(ABS(Q44+D45-J45)&gt;0.005,1,0))</f>
        <v>0.0</v>
      </c>
      <c r="T45" s="1" t="str">
        <f>IF(R45=1,Q44+D45,"")</f>
        <v/>
      </c>
    </row>
    <row r="46" spans="1:25">
      <c r="A46" s="41"/>
      <c r="B46" s="48"/>
      <c r="C46" s="43"/>
      <c r="D46" s="49"/>
      <c r="E46" s="43"/>
      <c r="F46" s="44"/>
      <c r="G46" s="41" t="str">
        <f>IF(AND(E46="",D46=""),"",IF(OR(E46="",E46='分类汇总'!$C$6),"待你决定",IF(E46&lt;&gt;O46,"你定的",IF(F46&lt;&gt;"","你核对过",P46))))</f>
        <v/>
      </c>
      <c r="M46" s="1" t="str">
        <f>IF(B46="","",DATE(YEAR(B46),MONTH(B46),1))</f>
        <v/>
      </c>
      <c r="N46" s="1" t="str">
        <f>IF(D46="","",IF(E46="",'分类汇总'!$B$6,IFERROR(INDEX('分类汇总'!$B$6:$B$31,MATCH(E46,'分类汇总'!$C$6:$C$31,0)),"none")))</f>
        <v/>
      </c>
      <c r="Q46" s="1">
        <f>IF(AND(J46&lt;&gt;"",N46&lt;&gt;'分类汇总'!$B$28),J46,Q45)</f>
        <v>12062.8</v>
      </c>
      <c r="R46" s="1">
        <f>IF(OR(J46="",D46="",N46='分类汇总'!$B$28,Q45=""),0,IF(ABS(Q45+D46-J46)&gt;0.005,1,0))</f>
        <v>0.0</v>
      </c>
      <c r="T46" s="1" t="str">
        <f>IF(R46=1,Q45+D46,"")</f>
        <v/>
      </c>
    </row>
    <row r="47" spans="1:25">
      <c r="A47" s="41"/>
      <c r="B47" s="48"/>
      <c r="C47" s="43"/>
      <c r="D47" s="49"/>
      <c r="E47" s="43"/>
      <c r="F47" s="44"/>
      <c r="G47" s="41" t="str">
        <f>IF(AND(E47="",D47=""),"",IF(OR(E47="",E47='分类汇总'!$C$6),"待你决定",IF(E47&lt;&gt;O47,"你定的",IF(F47&lt;&gt;"","你核对过",P47))))</f>
        <v/>
      </c>
      <c r="M47" s="1" t="str">
        <f>IF(B47="","",DATE(YEAR(B47),MONTH(B47),1))</f>
        <v/>
      </c>
      <c r="N47" s="1" t="str">
        <f>IF(D47="","",IF(E47="",'分类汇总'!$B$6,IFERROR(INDEX('分类汇总'!$B$6:$B$31,MATCH(E47,'分类汇总'!$C$6:$C$31,0)),"none")))</f>
        <v/>
      </c>
      <c r="Q47" s="1">
        <f>IF(AND(J47&lt;&gt;"",N47&lt;&gt;'分类汇总'!$B$28),J47,Q46)</f>
        <v>12062.8</v>
      </c>
      <c r="R47" s="1">
        <f>IF(OR(J47="",D47="",N47='分类汇总'!$B$28,Q46=""),0,IF(ABS(Q46+D47-J47)&gt;0.005,1,0))</f>
        <v>0.0</v>
      </c>
      <c r="T47" s="1" t="str">
        <f>IF(R47=1,Q46+D47,"")</f>
        <v/>
      </c>
    </row>
    <row r="48" spans="1:25">
      <c r="A48" s="41"/>
      <c r="B48" s="48"/>
      <c r="C48" s="43"/>
      <c r="D48" s="49"/>
      <c r="E48" s="43"/>
      <c r="F48" s="44"/>
      <c r="G48" s="41" t="str">
        <f>IF(AND(E48="",D48=""),"",IF(OR(E48="",E48='分类汇总'!$C$6),"待你决定",IF(E48&lt;&gt;O48,"你定的",IF(F48&lt;&gt;"","你核对过",P48))))</f>
        <v/>
      </c>
      <c r="M48" s="1" t="str">
        <f>IF(B48="","",DATE(YEAR(B48),MONTH(B48),1))</f>
        <v/>
      </c>
      <c r="N48" s="1" t="str">
        <f>IF(D48="","",IF(E48="",'分类汇总'!$B$6,IFERROR(INDEX('分类汇总'!$B$6:$B$31,MATCH(E48,'分类汇总'!$C$6:$C$31,0)),"none")))</f>
        <v/>
      </c>
      <c r="Q48" s="1">
        <f>IF(AND(J48&lt;&gt;"",N48&lt;&gt;'分类汇总'!$B$28),J48,Q47)</f>
        <v>12062.8</v>
      </c>
      <c r="R48" s="1">
        <f>IF(OR(J48="",D48="",N48='分类汇总'!$B$28,Q47=""),0,IF(ABS(Q47+D48-J48)&gt;0.005,1,0))</f>
        <v>0.0</v>
      </c>
      <c r="T48" s="1" t="str">
        <f>IF(R48=1,Q47+D48,"")</f>
        <v/>
      </c>
    </row>
    <row r="49" spans="1:20">
      <c r="A49" s="41"/>
      <c r="B49" s="48"/>
      <c r="C49" s="43"/>
      <c r="D49" s="49"/>
      <c r="E49" s="43"/>
      <c r="F49" s="44"/>
      <c r="G49" s="41" t="str">
        <f>IF(AND(E49="",D49=""),"",IF(OR(E49="",E49='分类汇总'!$C$6),"待你决定",IF(E49&lt;&gt;O49,"你定的",IF(F49&lt;&gt;"","你核对过",P49))))</f>
        <v/>
      </c>
      <c r="M49" s="1" t="str">
        <f>IF(B49="","",DATE(YEAR(B49),MONTH(B49),1))</f>
        <v/>
      </c>
      <c r="N49" s="1" t="str">
        <f>IF(D49="","",IF(E49="",'分类汇总'!$B$6,IFERROR(INDEX('分类汇总'!$B$6:$B$31,MATCH(E49,'分类汇总'!$C$6:$C$31,0)),"none")))</f>
        <v/>
      </c>
      <c r="Q49" s="1">
        <f>IF(AND(J49&lt;&gt;"",N49&lt;&gt;'分类汇总'!$B$28),J49,Q48)</f>
        <v>12062.8</v>
      </c>
      <c r="R49" s="1">
        <f>IF(OR(J49="",D49="",N49='分类汇总'!$B$28,Q48=""),0,IF(ABS(Q48+D49-J49)&gt;0.005,1,0))</f>
        <v>0.0</v>
      </c>
      <c r="T49" s="1" t="str">
        <f>IF(R49=1,Q48+D49,"")</f>
        <v/>
      </c>
    </row>
    <row r="50" spans="1:20">
      <c r="A50" s="41"/>
      <c r="B50" s="48"/>
      <c r="C50" s="43"/>
      <c r="D50" s="49"/>
      <c r="E50" s="43"/>
      <c r="F50" s="44"/>
      <c r="G50" s="41" t="str">
        <f>IF(AND(E50="",D50=""),"",IF(OR(E50="",E50='分类汇总'!$C$6),"待你决定",IF(E50&lt;&gt;O50,"你定的",IF(F50&lt;&gt;"","你核对过",P50))))</f>
        <v/>
      </c>
      <c r="M50" s="1" t="str">
        <f>IF(B50="","",DATE(YEAR(B50),MONTH(B50),1))</f>
        <v/>
      </c>
      <c r="N50" s="1" t="str">
        <f>IF(D50="","",IF(E50="",'分类汇总'!$B$6,IFERROR(INDEX('分类汇总'!$B$6:$B$31,MATCH(E50,'分类汇总'!$C$6:$C$31,0)),"none")))</f>
        <v/>
      </c>
      <c r="Q50" s="1">
        <f>IF(AND(J50&lt;&gt;"",N50&lt;&gt;'分类汇总'!$B$28),J50,Q49)</f>
        <v>12062.8</v>
      </c>
      <c r="R50" s="1">
        <f>IF(OR(J50="",D50="",N50='分类汇总'!$B$28,Q49=""),0,IF(ABS(Q49+D50-J50)&gt;0.005,1,0))</f>
        <v>0.0</v>
      </c>
      <c r="T50" s="1" t="str">
        <f>IF(R50=1,Q49+D50,"")</f>
        <v/>
      </c>
    </row>
    <row r="51" spans="1:20">
      <c r="A51" s="41"/>
      <c r="B51" s="48"/>
      <c r="C51" s="43"/>
      <c r="D51" s="49"/>
      <c r="E51" s="43"/>
      <c r="F51" s="44"/>
      <c r="G51" s="41" t="str">
        <f>IF(AND(E51="",D51=""),"",IF(OR(E51="",E51='分类汇总'!$C$6),"待你决定",IF(E51&lt;&gt;O51,"你定的",IF(F51&lt;&gt;"","你核对过",P51))))</f>
        <v/>
      </c>
      <c r="M51" s="1" t="str">
        <f>IF(B51="","",DATE(YEAR(B51),MONTH(B51),1))</f>
        <v/>
      </c>
      <c r="N51" s="1" t="str">
        <f>IF(D51="","",IF(E51="",'分类汇总'!$B$6,IFERROR(INDEX('分类汇总'!$B$6:$B$31,MATCH(E51,'分类汇总'!$C$6:$C$31,0)),"none")))</f>
        <v/>
      </c>
      <c r="Q51" s="1">
        <f>IF(AND(J51&lt;&gt;"",N51&lt;&gt;'分类汇总'!$B$28),J51,Q50)</f>
        <v>12062.8</v>
      </c>
      <c r="R51" s="1">
        <f>IF(OR(J51="",D51="",N51='分类汇总'!$B$28,Q50=""),0,IF(ABS(Q50+D51-J51)&gt;0.005,1,0))</f>
        <v>0.0</v>
      </c>
      <c r="T51" s="1" t="str">
        <f>IF(R51=1,Q50+D51,"")</f>
        <v/>
      </c>
    </row>
    <row r="52" spans="1:20">
      <c r="A52" s="41"/>
      <c r="B52" s="48"/>
      <c r="C52" s="43"/>
      <c r="D52" s="49"/>
      <c r="E52" s="43"/>
      <c r="F52" s="44"/>
      <c r="G52" s="41" t="str">
        <f>IF(AND(E52="",D52=""),"",IF(OR(E52="",E52='分类汇总'!$C$6),"待你决定",IF(E52&lt;&gt;O52,"你定的",IF(F52&lt;&gt;"","你核对过",P52))))</f>
        <v/>
      </c>
      <c r="M52" s="1" t="str">
        <f>IF(B52="","",DATE(YEAR(B52),MONTH(B52),1))</f>
        <v/>
      </c>
      <c r="N52" s="1" t="str">
        <f>IF(D52="","",IF(E52="",'分类汇总'!$B$6,IFERROR(INDEX('分类汇总'!$B$6:$B$31,MATCH(E52,'分类汇总'!$C$6:$C$31,0)),"none")))</f>
        <v/>
      </c>
      <c r="Q52" s="1">
        <f>IF(AND(J52&lt;&gt;"",N52&lt;&gt;'分类汇总'!$B$28),J52,Q51)</f>
        <v>12062.8</v>
      </c>
      <c r="R52" s="1">
        <f>IF(OR(J52="",D52="",N52='分类汇总'!$B$28,Q51=""),0,IF(ABS(Q51+D52-J52)&gt;0.005,1,0))</f>
        <v>0.0</v>
      </c>
      <c r="T52" s="1" t="str">
        <f>IF(R52=1,Q51+D52,"")</f>
        <v/>
      </c>
    </row>
    <row r="53" spans="1:20">
      <c r="A53" s="41"/>
      <c r="B53" s="48"/>
      <c r="C53" s="43"/>
      <c r="D53" s="49"/>
      <c r="E53" s="43"/>
      <c r="F53" s="44"/>
      <c r="G53" s="41" t="str">
        <f>IF(AND(E53="",D53=""),"",IF(OR(E53="",E53='分类汇总'!$C$6),"待你决定",IF(E53&lt;&gt;O53,"你定的",IF(F53&lt;&gt;"","你核对过",P53))))</f>
        <v/>
      </c>
      <c r="M53" s="1" t="str">
        <f>IF(B53="","",DATE(YEAR(B53),MONTH(B53),1))</f>
        <v/>
      </c>
      <c r="N53" s="1" t="str">
        <f>IF(D53="","",IF(E53="",'分类汇总'!$B$6,IFERROR(INDEX('分类汇总'!$B$6:$B$31,MATCH(E53,'分类汇总'!$C$6:$C$31,0)),"none")))</f>
        <v/>
      </c>
      <c r="Q53" s="1">
        <f>IF(AND(J53&lt;&gt;"",N53&lt;&gt;'分类汇总'!$B$28),J53,Q52)</f>
        <v>12062.8</v>
      </c>
      <c r="R53" s="1">
        <f>IF(OR(J53="",D53="",N53='分类汇总'!$B$28,Q52=""),0,IF(ABS(Q52+D53-J53)&gt;0.005,1,0))</f>
        <v>0.0</v>
      </c>
      <c r="T53" s="1" t="str">
        <f>IF(R53=1,Q52+D53,"")</f>
        <v/>
      </c>
    </row>
    <row r="54" spans="1:20">
      <c r="A54" s="41"/>
      <c r="B54" s="48"/>
      <c r="C54" s="43"/>
      <c r="D54" s="49"/>
      <c r="E54" s="43"/>
      <c r="F54" s="44"/>
      <c r="G54" s="41" t="str">
        <f>IF(AND(E54="",D54=""),"",IF(OR(E54="",E54='分类汇总'!$C$6),"待你决定",IF(E54&lt;&gt;O54,"你定的",IF(F54&lt;&gt;"","你核对过",P54))))</f>
        <v/>
      </c>
      <c r="M54" s="1" t="str">
        <f>IF(B54="","",DATE(YEAR(B54),MONTH(B54),1))</f>
        <v/>
      </c>
      <c r="N54" s="1" t="str">
        <f>IF(D54="","",IF(E54="",'分类汇总'!$B$6,IFERROR(INDEX('分类汇总'!$B$6:$B$31,MATCH(E54,'分类汇总'!$C$6:$C$31,0)),"none")))</f>
        <v/>
      </c>
      <c r="Q54" s="1">
        <f>IF(AND(J54&lt;&gt;"",N54&lt;&gt;'分类汇总'!$B$28),J54,Q53)</f>
        <v>12062.8</v>
      </c>
      <c r="R54" s="1">
        <f>IF(OR(J54="",D54="",N54='分类汇总'!$B$28,Q53=""),0,IF(ABS(Q53+D54-J54)&gt;0.005,1,0))</f>
        <v>0.0</v>
      </c>
      <c r="T54" s="1" t="str">
        <f>IF(R54=1,Q53+D54,"")</f>
        <v/>
      </c>
    </row>
    <row r="55" spans="1:20">
      <c r="A55" s="41"/>
      <c r="B55" s="48"/>
      <c r="C55" s="43"/>
      <c r="D55" s="49"/>
      <c r="E55" s="43"/>
      <c r="F55" s="44"/>
      <c r="G55" s="41" t="str">
        <f>IF(AND(E55="",D55=""),"",IF(OR(E55="",E55='分类汇总'!$C$6),"待你决定",IF(E55&lt;&gt;O55,"你定的",IF(F55&lt;&gt;"","你核对过",P55))))</f>
        <v/>
      </c>
      <c r="M55" s="1" t="str">
        <f>IF(B55="","",DATE(YEAR(B55),MONTH(B55),1))</f>
        <v/>
      </c>
      <c r="N55" s="1" t="str">
        <f>IF(D55="","",IF(E55="",'分类汇总'!$B$6,IFERROR(INDEX('分类汇总'!$B$6:$B$31,MATCH(E55,'分类汇总'!$C$6:$C$31,0)),"none")))</f>
        <v/>
      </c>
      <c r="Q55" s="1">
        <f>IF(AND(J55&lt;&gt;"",N55&lt;&gt;'分类汇总'!$B$28),J55,Q54)</f>
        <v>12062.8</v>
      </c>
      <c r="R55" s="1">
        <f>IF(OR(J55="",D55="",N55='分类汇总'!$B$28,Q54=""),0,IF(ABS(Q54+D55-J55)&gt;0.005,1,0))</f>
        <v>0.0</v>
      </c>
      <c r="T55" s="1" t="str">
        <f>IF(R55=1,Q54+D55,"")</f>
        <v/>
      </c>
    </row>
    <row r="56" spans="1:20">
      <c r="A56" s="41"/>
      <c r="B56" s="48"/>
      <c r="C56" s="43"/>
      <c r="D56" s="49"/>
      <c r="E56" s="43"/>
      <c r="F56" s="44"/>
      <c r="G56" s="41" t="str">
        <f>IF(AND(E56="",D56=""),"",IF(OR(E56="",E56='分类汇总'!$C$6),"待你决定",IF(E56&lt;&gt;O56,"你定的",IF(F56&lt;&gt;"","你核对过",P56))))</f>
        <v/>
      </c>
      <c r="M56" s="1" t="str">
        <f>IF(B56="","",DATE(YEAR(B56),MONTH(B56),1))</f>
        <v/>
      </c>
      <c r="N56" s="1" t="str">
        <f>IF(D56="","",IF(E56="",'分类汇总'!$B$6,IFERROR(INDEX('分类汇总'!$B$6:$B$31,MATCH(E56,'分类汇总'!$C$6:$C$31,0)),"none")))</f>
        <v/>
      </c>
      <c r="Q56" s="1">
        <f>IF(AND(J56&lt;&gt;"",N56&lt;&gt;'分类汇总'!$B$28),J56,Q55)</f>
        <v>12062.8</v>
      </c>
      <c r="R56" s="1">
        <f>IF(OR(J56="",D56="",N56='分类汇总'!$B$28,Q55=""),0,IF(ABS(Q55+D56-J56)&gt;0.005,1,0))</f>
        <v>0.0</v>
      </c>
      <c r="T56" s="1" t="str">
        <f>IF(R56=1,Q55+D56,"")</f>
        <v/>
      </c>
    </row>
    <row r="57" spans="1:20">
      <c r="A57" s="41"/>
      <c r="B57" s="48"/>
      <c r="C57" s="43"/>
      <c r="D57" s="49"/>
      <c r="E57" s="43"/>
      <c r="F57" s="44"/>
      <c r="G57" s="41" t="str">
        <f>IF(AND(E57="",D57=""),"",IF(OR(E57="",E57='分类汇总'!$C$6),"待你决定",IF(E57&lt;&gt;O57,"你定的",IF(F57&lt;&gt;"","你核对过",P57))))</f>
        <v/>
      </c>
      <c r="M57" s="1" t="str">
        <f>IF(B57="","",DATE(YEAR(B57),MONTH(B57),1))</f>
        <v/>
      </c>
      <c r="N57" s="1" t="str">
        <f>IF(D57="","",IF(E57="",'分类汇总'!$B$6,IFERROR(INDEX('分类汇总'!$B$6:$B$31,MATCH(E57,'分类汇总'!$C$6:$C$31,0)),"none")))</f>
        <v/>
      </c>
      <c r="Q57" s="1">
        <f>IF(AND(J57&lt;&gt;"",N57&lt;&gt;'分类汇总'!$B$28),J57,Q56)</f>
        <v>12062.8</v>
      </c>
      <c r="R57" s="1">
        <f>IF(OR(J57="",D57="",N57='分类汇总'!$B$28,Q56=""),0,IF(ABS(Q56+D57-J57)&gt;0.005,1,0))</f>
        <v>0.0</v>
      </c>
      <c r="T57" s="1" t="str">
        <f>IF(R57=1,Q56+D57,"")</f>
        <v/>
      </c>
    </row>
    <row r="58" spans="1:20">
      <c r="A58" s="41"/>
      <c r="B58" s="48"/>
      <c r="C58" s="43"/>
      <c r="D58" s="49"/>
      <c r="E58" s="43"/>
      <c r="F58" s="44"/>
      <c r="G58" s="41" t="str">
        <f>IF(AND(E58="",D58=""),"",IF(OR(E58="",E58='分类汇总'!$C$6),"待你决定",IF(E58&lt;&gt;O58,"你定的",IF(F58&lt;&gt;"","你核对过",P58))))</f>
        <v/>
      </c>
      <c r="M58" s="1" t="str">
        <f>IF(B58="","",DATE(YEAR(B58),MONTH(B58),1))</f>
        <v/>
      </c>
      <c r="N58" s="1" t="str">
        <f>IF(D58="","",IF(E58="",'分类汇总'!$B$6,IFERROR(INDEX('分类汇总'!$B$6:$B$31,MATCH(E58,'分类汇总'!$C$6:$C$31,0)),"none")))</f>
        <v/>
      </c>
      <c r="Q58" s="1">
        <f>IF(AND(J58&lt;&gt;"",N58&lt;&gt;'分类汇总'!$B$28),J58,Q57)</f>
        <v>12062.8</v>
      </c>
      <c r="R58" s="1">
        <f>IF(OR(J58="",D58="",N58='分类汇总'!$B$28,Q57=""),0,IF(ABS(Q57+D58-J58)&gt;0.005,1,0))</f>
        <v>0.0</v>
      </c>
      <c r="T58" s="1" t="str">
        <f>IF(R58=1,Q57+D58,"")</f>
        <v/>
      </c>
    </row>
    <row r="59" spans="1:20">
      <c r="A59" s="41"/>
      <c r="B59" s="48"/>
      <c r="C59" s="43"/>
      <c r="D59" s="49"/>
      <c r="E59" s="43"/>
      <c r="F59" s="44"/>
      <c r="G59" s="41" t="str">
        <f>IF(AND(E59="",D59=""),"",IF(OR(E59="",E59='分类汇总'!$C$6),"待你决定",IF(E59&lt;&gt;O59,"你定的",IF(F59&lt;&gt;"","你核对过",P59))))</f>
        <v/>
      </c>
      <c r="M59" s="1" t="str">
        <f>IF(B59="","",DATE(YEAR(B59),MONTH(B59),1))</f>
        <v/>
      </c>
      <c r="N59" s="1" t="str">
        <f>IF(D59="","",IF(E59="",'分类汇总'!$B$6,IFERROR(INDEX('分类汇总'!$B$6:$B$31,MATCH(E59,'分类汇总'!$C$6:$C$31,0)),"none")))</f>
        <v/>
      </c>
      <c r="Q59" s="1">
        <f>IF(AND(J59&lt;&gt;"",N59&lt;&gt;'分类汇总'!$B$28),J59,Q58)</f>
        <v>12062.8</v>
      </c>
      <c r="R59" s="1">
        <f>IF(OR(J59="",D59="",N59='分类汇总'!$B$28,Q58=""),0,IF(ABS(Q58+D59-J59)&gt;0.005,1,0))</f>
        <v>0.0</v>
      </c>
      <c r="T59" s="1" t="str">
        <f>IF(R59=1,Q58+D59,"")</f>
        <v/>
      </c>
    </row>
    <row r="60" spans="1:20">
      <c r="A60" s="41"/>
      <c r="B60" s="48"/>
      <c r="C60" s="43"/>
      <c r="D60" s="49"/>
      <c r="E60" s="43"/>
      <c r="F60" s="44"/>
      <c r="G60" s="41" t="str">
        <f>IF(AND(E60="",D60=""),"",IF(OR(E60="",E60='分类汇总'!$C$6),"待你决定",IF(E60&lt;&gt;O60,"你定的",IF(F60&lt;&gt;"","你核对过",P60))))</f>
        <v/>
      </c>
      <c r="M60" s="1" t="str">
        <f>IF(B60="","",DATE(YEAR(B60),MONTH(B60),1))</f>
        <v/>
      </c>
      <c r="N60" s="1" t="str">
        <f>IF(D60="","",IF(E60="",'分类汇总'!$B$6,IFERROR(INDEX('分类汇总'!$B$6:$B$31,MATCH(E60,'分类汇总'!$C$6:$C$31,0)),"none")))</f>
        <v/>
      </c>
      <c r="Q60" s="1">
        <f>IF(AND(J60&lt;&gt;"",N60&lt;&gt;'分类汇总'!$B$28),J60,Q59)</f>
        <v>12062.8</v>
      </c>
      <c r="R60" s="1">
        <f>IF(OR(J60="",D60="",N60='分类汇总'!$B$28,Q59=""),0,IF(ABS(Q59+D60-J60)&gt;0.005,1,0))</f>
        <v>0.0</v>
      </c>
      <c r="T60" s="1" t="str">
        <f>IF(R60=1,Q59+D60,"")</f>
        <v/>
      </c>
    </row>
    <row r="61" spans="1:20">
      <c r="A61" s="41"/>
      <c r="B61" s="48"/>
      <c r="C61" s="43"/>
      <c r="D61" s="49"/>
      <c r="E61" s="43"/>
      <c r="F61" s="44"/>
      <c r="G61" s="41" t="str">
        <f>IF(AND(E61="",D61=""),"",IF(OR(E61="",E61='分类汇总'!$C$6),"待你决定",IF(E61&lt;&gt;O61,"你定的",IF(F61&lt;&gt;"","你核对过",P61))))</f>
        <v/>
      </c>
      <c r="M61" s="1" t="str">
        <f>IF(B61="","",DATE(YEAR(B61),MONTH(B61),1))</f>
        <v/>
      </c>
      <c r="N61" s="1" t="str">
        <f>IF(D61="","",IF(E61="",'分类汇总'!$B$6,IFERROR(INDEX('分类汇总'!$B$6:$B$31,MATCH(E61,'分类汇总'!$C$6:$C$31,0)),"none")))</f>
        <v/>
      </c>
      <c r="Q61" s="1">
        <f>IF(AND(J61&lt;&gt;"",N61&lt;&gt;'分类汇总'!$B$28),J61,Q60)</f>
        <v>12062.8</v>
      </c>
      <c r="R61" s="1">
        <f>IF(OR(J61="",D61="",N61='分类汇总'!$B$28,Q60=""),0,IF(ABS(Q60+D61-J61)&gt;0.005,1,0))</f>
        <v>0.0</v>
      </c>
      <c r="T61" s="1" t="str">
        <f>IF(R61=1,Q60+D61,"")</f>
        <v/>
      </c>
    </row>
    <row r="62" spans="1:20">
      <c r="A62" s="41"/>
      <c r="B62" s="48"/>
      <c r="C62" s="43"/>
      <c r="D62" s="49"/>
      <c r="E62" s="43"/>
      <c r="F62" s="44"/>
      <c r="G62" s="41" t="str">
        <f>IF(AND(E62="",D62=""),"",IF(OR(E62="",E62='分类汇总'!$C$6),"待你决定",IF(E62&lt;&gt;O62,"你定的",IF(F62&lt;&gt;"","你核对过",P62))))</f>
        <v/>
      </c>
      <c r="M62" s="1" t="str">
        <f>IF(B62="","",DATE(YEAR(B62),MONTH(B62),1))</f>
        <v/>
      </c>
      <c r="N62" s="1" t="str">
        <f>IF(D62="","",IF(E62="",'分类汇总'!$B$6,IFERROR(INDEX('分类汇总'!$B$6:$B$31,MATCH(E62,'分类汇总'!$C$6:$C$31,0)),"none")))</f>
        <v/>
      </c>
      <c r="Q62" s="1">
        <f>IF(AND(J62&lt;&gt;"",N62&lt;&gt;'分类汇总'!$B$28),J62,Q61)</f>
        <v>12062.8</v>
      </c>
      <c r="R62" s="1">
        <f>IF(OR(J62="",D62="",N62='分类汇总'!$B$28,Q61=""),0,IF(ABS(Q61+D62-J62)&gt;0.005,1,0))</f>
        <v>0.0</v>
      </c>
      <c r="T62" s="1" t="str">
        <f>IF(R62=1,Q61+D62,"")</f>
        <v/>
      </c>
    </row>
    <row r="63" spans="1:20">
      <c r="A63" s="41"/>
      <c r="B63" s="48"/>
      <c r="C63" s="43"/>
      <c r="D63" s="49"/>
      <c r="E63" s="43"/>
      <c r="F63" s="44"/>
      <c r="G63" s="41" t="str">
        <f>IF(AND(E63="",D63=""),"",IF(OR(E63="",E63='分类汇总'!$C$6),"待你决定",IF(E63&lt;&gt;O63,"你定的",IF(F63&lt;&gt;"","你核对过",P63))))</f>
        <v/>
      </c>
      <c r="M63" s="1" t="str">
        <f>IF(B63="","",DATE(YEAR(B63),MONTH(B63),1))</f>
        <v/>
      </c>
      <c r="N63" s="1" t="str">
        <f>IF(D63="","",IF(E63="",'分类汇总'!$B$6,IFERROR(INDEX('分类汇总'!$B$6:$B$31,MATCH(E63,'分类汇总'!$C$6:$C$31,0)),"none")))</f>
        <v/>
      </c>
      <c r="Q63" s="1">
        <f>IF(AND(J63&lt;&gt;"",N63&lt;&gt;'分类汇总'!$B$28),J63,Q62)</f>
        <v>12062.8</v>
      </c>
      <c r="R63" s="1">
        <f>IF(OR(J63="",D63="",N63='分类汇总'!$B$28,Q62=""),0,IF(ABS(Q62+D63-J63)&gt;0.005,1,0))</f>
        <v>0.0</v>
      </c>
      <c r="T63" s="1" t="str">
        <f>IF(R63=1,Q62+D63,"")</f>
        <v/>
      </c>
    </row>
    <row r="64" spans="1:20">
      <c r="A64" s="41"/>
      <c r="B64" s="48"/>
      <c r="C64" s="43"/>
      <c r="D64" s="49"/>
      <c r="E64" s="43"/>
      <c r="F64" s="44"/>
      <c r="G64" s="41" t="str">
        <f>IF(AND(E64="",D64=""),"",IF(OR(E64="",E64='分类汇总'!$C$6),"待你决定",IF(E64&lt;&gt;O64,"你定的",IF(F64&lt;&gt;"","你核对过",P64))))</f>
        <v/>
      </c>
      <c r="M64" s="1" t="str">
        <f>IF(B64="","",DATE(YEAR(B64),MONTH(B64),1))</f>
        <v/>
      </c>
      <c r="N64" s="1" t="str">
        <f>IF(D64="","",IF(E64="",'分类汇总'!$B$6,IFERROR(INDEX('分类汇总'!$B$6:$B$31,MATCH(E64,'分类汇总'!$C$6:$C$31,0)),"none")))</f>
        <v/>
      </c>
      <c r="Q64" s="1">
        <f>IF(AND(J64&lt;&gt;"",N64&lt;&gt;'分类汇总'!$B$28),J64,Q63)</f>
        <v>12062.8</v>
      </c>
      <c r="R64" s="1">
        <f>IF(OR(J64="",D64="",N64='分类汇总'!$B$28,Q63=""),0,IF(ABS(Q63+D64-J64)&gt;0.005,1,0))</f>
        <v>0.0</v>
      </c>
      <c r="T64" s="1" t="str">
        <f>IF(R64=1,Q63+D64,"")</f>
        <v/>
      </c>
    </row>
    <row r="65" spans="1:20">
      <c r="A65" s="41"/>
      <c r="B65" s="48"/>
      <c r="C65" s="43"/>
      <c r="D65" s="49"/>
      <c r="E65" s="43"/>
      <c r="F65" s="44"/>
      <c r="G65" s="41" t="str">
        <f>IF(AND(E65="",D65=""),"",IF(OR(E65="",E65='分类汇总'!$C$6),"待你决定",IF(E65&lt;&gt;O65,"你定的",IF(F65&lt;&gt;"","你核对过",P65))))</f>
        <v/>
      </c>
      <c r="M65" s="1" t="str">
        <f>IF(B65="","",DATE(YEAR(B65),MONTH(B65),1))</f>
        <v/>
      </c>
      <c r="N65" s="1" t="str">
        <f>IF(D65="","",IF(E65="",'分类汇总'!$B$6,IFERROR(INDEX('分类汇总'!$B$6:$B$31,MATCH(E65,'分类汇总'!$C$6:$C$31,0)),"none")))</f>
        <v/>
      </c>
      <c r="Q65" s="1">
        <f>IF(AND(J65&lt;&gt;"",N65&lt;&gt;'分类汇总'!$B$28),J65,Q64)</f>
        <v>12062.8</v>
      </c>
      <c r="R65" s="1">
        <f>IF(OR(J65="",D65="",N65='分类汇总'!$B$28,Q64=""),0,IF(ABS(Q64+D65-J65)&gt;0.005,1,0))</f>
        <v>0.0</v>
      </c>
      <c r="T65" s="1" t="str">
        <f>IF(R65=1,Q64+D65,"")</f>
        <v/>
      </c>
    </row>
    <row r="66" spans="1:20">
      <c r="A66" s="41"/>
      <c r="B66" s="48"/>
      <c r="C66" s="43"/>
      <c r="D66" s="49"/>
      <c r="E66" s="43"/>
      <c r="F66" s="44"/>
      <c r="G66" s="41" t="str">
        <f>IF(AND(E66="",D66=""),"",IF(OR(E66="",E66='分类汇总'!$C$6),"待你决定",IF(E66&lt;&gt;O66,"你定的",IF(F66&lt;&gt;"","你核对过",P66))))</f>
        <v/>
      </c>
      <c r="M66" s="1" t="str">
        <f>IF(B66="","",DATE(YEAR(B66),MONTH(B66),1))</f>
        <v/>
      </c>
      <c r="N66" s="1" t="str">
        <f>IF(D66="","",IF(E66="",'分类汇总'!$B$6,IFERROR(INDEX('分类汇总'!$B$6:$B$31,MATCH(E66,'分类汇总'!$C$6:$C$31,0)),"none")))</f>
        <v/>
      </c>
      <c r="Q66" s="1">
        <f>IF(AND(J66&lt;&gt;"",N66&lt;&gt;'分类汇总'!$B$28),J66,Q65)</f>
        <v>12062.8</v>
      </c>
      <c r="R66" s="1">
        <f>IF(OR(J66="",D66="",N66='分类汇总'!$B$28,Q65=""),0,IF(ABS(Q65+D66-J66)&gt;0.005,1,0))</f>
        <v>0.0</v>
      </c>
      <c r="T66" s="1" t="str">
        <f>IF(R66=1,Q65+D66,"")</f>
        <v/>
      </c>
    </row>
    <row r="67" spans="1:20">
      <c r="A67" s="41"/>
      <c r="B67" s="48"/>
      <c r="C67" s="43"/>
      <c r="D67" s="49"/>
      <c r="E67" s="43"/>
      <c r="F67" s="44"/>
      <c r="G67" s="41" t="str">
        <f>IF(AND(E67="",D67=""),"",IF(OR(E67="",E67='分类汇总'!$C$6),"待你决定",IF(E67&lt;&gt;O67,"你定的",IF(F67&lt;&gt;"","你核对过",P67))))</f>
        <v/>
      </c>
      <c r="M67" s="1" t="str">
        <f>IF(B67="","",DATE(YEAR(B67),MONTH(B67),1))</f>
        <v/>
      </c>
      <c r="N67" s="1" t="str">
        <f>IF(D67="","",IF(E67="",'分类汇总'!$B$6,IFERROR(INDEX('分类汇总'!$B$6:$B$31,MATCH(E67,'分类汇总'!$C$6:$C$31,0)),"none")))</f>
        <v/>
      </c>
      <c r="Q67" s="1">
        <f>IF(AND(J67&lt;&gt;"",N67&lt;&gt;'分类汇总'!$B$28),J67,Q66)</f>
        <v>12062.8</v>
      </c>
      <c r="R67" s="1">
        <f>IF(OR(J67="",D67="",N67='分类汇总'!$B$28,Q66=""),0,IF(ABS(Q66+D67-J67)&gt;0.005,1,0))</f>
        <v>0.0</v>
      </c>
      <c r="T67" s="1" t="str">
        <f>IF(R67=1,Q66+D67,"")</f>
        <v/>
      </c>
    </row>
    <row r="68" spans="1:20">
      <c r="A68" s="41"/>
      <c r="B68" s="48"/>
      <c r="C68" s="43"/>
      <c r="D68" s="49"/>
      <c r="E68" s="43"/>
      <c r="F68" s="44"/>
      <c r="G68" s="41" t="str">
        <f>IF(AND(E68="",D68=""),"",IF(OR(E68="",E68='分类汇总'!$C$6),"待你决定",IF(E68&lt;&gt;O68,"你定的",IF(F68&lt;&gt;"","你核对过",P68))))</f>
        <v/>
      </c>
      <c r="M68" s="1" t="str">
        <f>IF(B68="","",DATE(YEAR(B68),MONTH(B68),1))</f>
        <v/>
      </c>
      <c r="N68" s="1" t="str">
        <f>IF(D68="","",IF(E68="",'分类汇总'!$B$6,IFERROR(INDEX('分类汇总'!$B$6:$B$31,MATCH(E68,'分类汇总'!$C$6:$C$31,0)),"none")))</f>
        <v/>
      </c>
      <c r="Q68" s="1">
        <f>IF(AND(J68&lt;&gt;"",N68&lt;&gt;'分类汇总'!$B$28),J68,Q67)</f>
        <v>12062.8</v>
      </c>
      <c r="R68" s="1">
        <f>IF(OR(J68="",D68="",N68='分类汇总'!$B$28,Q67=""),0,IF(ABS(Q67+D68-J68)&gt;0.005,1,0))</f>
        <v>0.0</v>
      </c>
      <c r="T68" s="1" t="str">
        <f>IF(R68=1,Q67+D68,"")</f>
        <v/>
      </c>
    </row>
    <row r="69" spans="1:20">
      <c r="A69" s="41"/>
      <c r="B69" s="48"/>
      <c r="C69" s="43"/>
      <c r="D69" s="49"/>
      <c r="E69" s="43"/>
      <c r="F69" s="44"/>
      <c r="G69" s="41" t="str">
        <f>IF(AND(E69="",D69=""),"",IF(OR(E69="",E69='分类汇总'!$C$6),"待你决定",IF(E69&lt;&gt;O69,"你定的",IF(F69&lt;&gt;"","你核对过",P69))))</f>
        <v/>
      </c>
      <c r="M69" s="1" t="str">
        <f>IF(B69="","",DATE(YEAR(B69),MONTH(B69),1))</f>
        <v/>
      </c>
      <c r="N69" s="1" t="str">
        <f>IF(D69="","",IF(E69="",'分类汇总'!$B$6,IFERROR(INDEX('分类汇总'!$B$6:$B$31,MATCH(E69,'分类汇总'!$C$6:$C$31,0)),"none")))</f>
        <v/>
      </c>
      <c r="Q69" s="1">
        <f>IF(AND(J69&lt;&gt;"",N69&lt;&gt;'分类汇总'!$B$28),J69,Q68)</f>
        <v>12062.8</v>
      </c>
      <c r="R69" s="1">
        <f>IF(OR(J69="",D69="",N69='分类汇总'!$B$28,Q68=""),0,IF(ABS(Q68+D69-J69)&gt;0.005,1,0))</f>
        <v>0.0</v>
      </c>
      <c r="T69" s="1" t="str">
        <f>IF(R69=1,Q68+D69,"")</f>
        <v/>
      </c>
    </row>
    <row r="70" spans="1:20">
      <c r="A70" s="41"/>
      <c r="B70" s="48"/>
      <c r="C70" s="43"/>
      <c r="D70" s="49"/>
      <c r="E70" s="43"/>
      <c r="F70" s="44"/>
      <c r="G70" s="41" t="str">
        <f>IF(AND(E70="",D70=""),"",IF(OR(E70="",E70='分类汇总'!$C$6),"待你决定",IF(E70&lt;&gt;O70,"你定的",IF(F70&lt;&gt;"","你核对过",P70))))</f>
        <v/>
      </c>
      <c r="M70" s="1" t="str">
        <f>IF(B70="","",DATE(YEAR(B70),MONTH(B70),1))</f>
        <v/>
      </c>
      <c r="N70" s="1" t="str">
        <f>IF(D70="","",IF(E70="",'分类汇总'!$B$6,IFERROR(INDEX('分类汇总'!$B$6:$B$31,MATCH(E70,'分类汇总'!$C$6:$C$31,0)),"none")))</f>
        <v/>
      </c>
      <c r="Q70" s="1">
        <f>IF(AND(J70&lt;&gt;"",N70&lt;&gt;'分类汇总'!$B$28),J70,Q69)</f>
        <v>12062.8</v>
      </c>
      <c r="R70" s="1">
        <f>IF(OR(J70="",D70="",N70='分类汇总'!$B$28,Q69=""),0,IF(ABS(Q69+D70-J70)&gt;0.005,1,0))</f>
        <v>0.0</v>
      </c>
      <c r="T70" s="1" t="str">
        <f>IF(R70=1,Q69+D70,"")</f>
        <v/>
      </c>
    </row>
    <row r="71" spans="1:20">
      <c r="A71" s="41"/>
      <c r="B71" s="48"/>
      <c r="C71" s="43"/>
      <c r="D71" s="49"/>
      <c r="E71" s="43"/>
      <c r="F71" s="44"/>
      <c r="G71" s="41" t="str">
        <f>IF(AND(E71="",D71=""),"",IF(OR(E71="",E71='分类汇总'!$C$6),"待你决定",IF(E71&lt;&gt;O71,"你定的",IF(F71&lt;&gt;"","你核对过",P71))))</f>
        <v/>
      </c>
      <c r="M71" s="1" t="str">
        <f>IF(B71="","",DATE(YEAR(B71),MONTH(B71),1))</f>
        <v/>
      </c>
      <c r="N71" s="1" t="str">
        <f>IF(D71="","",IF(E71="",'分类汇总'!$B$6,IFERROR(INDEX('分类汇总'!$B$6:$B$31,MATCH(E71,'分类汇总'!$C$6:$C$31,0)),"none")))</f>
        <v/>
      </c>
      <c r="Q71" s="1">
        <f>IF(AND(J71&lt;&gt;"",N71&lt;&gt;'分类汇总'!$B$28),J71,Q70)</f>
        <v>12062.8</v>
      </c>
      <c r="R71" s="1">
        <f>IF(OR(J71="",D71="",N71='分类汇总'!$B$28,Q70=""),0,IF(ABS(Q70+D71-J71)&gt;0.005,1,0))</f>
        <v>0.0</v>
      </c>
      <c r="T71" s="1" t="str">
        <f>IF(R71=1,Q70+D71,"")</f>
        <v/>
      </c>
    </row>
    <row r="72" spans="1:20">
      <c r="A72" s="41"/>
      <c r="B72" s="48"/>
      <c r="C72" s="43"/>
      <c r="D72" s="49"/>
      <c r="E72" s="43"/>
      <c r="F72" s="44"/>
      <c r="G72" s="41" t="str">
        <f>IF(AND(E72="",D72=""),"",IF(OR(E72="",E72='分类汇总'!$C$6),"待你决定",IF(E72&lt;&gt;O72,"你定的",IF(F72&lt;&gt;"","你核对过",P72))))</f>
        <v/>
      </c>
      <c r="M72" s="1" t="str">
        <f>IF(B72="","",DATE(YEAR(B72),MONTH(B72),1))</f>
        <v/>
      </c>
      <c r="N72" s="1" t="str">
        <f>IF(D72="","",IF(E72="",'分类汇总'!$B$6,IFERROR(INDEX('分类汇总'!$B$6:$B$31,MATCH(E72,'分类汇总'!$C$6:$C$31,0)),"none")))</f>
        <v/>
      </c>
      <c r="Q72" s="1">
        <f>IF(AND(J72&lt;&gt;"",N72&lt;&gt;'分类汇总'!$B$28),J72,Q71)</f>
        <v>12062.8</v>
      </c>
      <c r="R72" s="1">
        <f>IF(OR(J72="",D72="",N72='分类汇总'!$B$28,Q71=""),0,IF(ABS(Q71+D72-J72)&gt;0.005,1,0))</f>
        <v>0.0</v>
      </c>
      <c r="T72" s="1" t="str">
        <f>IF(R72=1,Q71+D72,"")</f>
        <v/>
      </c>
    </row>
  </sheetData>
  <sheetProtection sheet="1" objects="1" scenarios="1" formatColumns="0" formatRows="0" sort="0" autoFilter="0"/>
  <autoFilter ref="A5:L72"/>
  <conditionalFormatting sqref="A6:L72">
    <cfRule type="expression" dxfId="0" priority="1">
      <formula>$G6="待你决定"</formula>
    </cfRule>
  </conditionalFormatting>
  <conditionalFormatting sqref="G6:G72">
    <cfRule type="expression" dxfId="1" priority="2">
      <formula>$G6="我们的猜测，没核对"</formula>
    </cfRule>
  </conditionalFormatting>
  <conditionalFormatting sqref="E6:E72">
    <cfRule type="expression" dxfId="2" priority="3">
      <formula>$N6="收入"</formula>
    </cfRule>
    <cfRule type="expression" dxfId="3" priority="4">
      <formula>$N6="支出"</formula>
    </cfRule>
    <cfRule type="expression" dxfId="4" priority="5">
      <formula>$N6="税费和政府缴费"</formula>
    </cfRule>
    <cfRule type="expression" dxfId="5" priority="6">
      <formula>$N6="私人开支"</formula>
    </cfRule>
    <cfRule type="expression" dxfId="6" priority="7">
      <formula>$N6="大额购置"</formula>
    </cfRule>
    <cfRule type="expression" dxfId="7" priority="8">
      <formula>$N6="自己账户之间转账"</formula>
    </cfRule>
    <cfRule type="expression" dxfId="7" priority="9">
      <formula>$N6="借贷款项"</formula>
    </cfRule>
    <cfRule type="expression" dxfId="8" priority="10">
      <formula>$N6="不计入"</formula>
    </cfRule>
  </conditionalFormatting>
  <dataValidations count="1">
    <dataValidation type="list" allowBlank="1" showInputMessage="1" showErrorMessage="1" errorTitle="分类" error="请从列表里选。也可以在「分类汇总」表最后加上你自己的分类名。" sqref="E6:E72">
      <formula1>'分类汇总'!$C$6:$C$31</formula1>
    </dataValidation>
  </dataValidations>
  <pageMargins left="0.4" right="0.4" top="0.45" bottom="0.4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6203A"/>
    <pageSetUpPr fitToPage="1"/>
  </sheetPr>
  <dimension ref="A2:AE46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.28515625" style="1" customWidth="1"/>
    <col min="2" max="2" width="22.7109375" style="1" customWidth="1"/>
    <col min="3" max="3" width="38.7109375" style="1" customWidth="1"/>
    <col min="4" max="4" width="9.7109375" style="1" customWidth="1"/>
    <col min="5" max="7" width="15.7109375" style="1" customWidth="1"/>
    <col min="8" max="8" width="3.28515625" style="1" customWidth="1"/>
    <col min="9" max="31" width="9.7109375" style="1" customWidth="1"/>
  </cols>
  <sheetData>
    <row r="2" spans="2:7" s="1" customFormat="1" ht="27.75" customHeight="1">
      <c r="B2" s="37" t="s">
        <v>100</v>
      </c>
    </row>
    <row r="3" spans="2:7">
      <c r="B3" s="4" t="s">
        <v>101</v>
      </c>
    </row>
    <row r="4" spans="2:7">
      <c r="B4" s="5" t="s">
        <v>2</v>
      </c>
    </row>
    <row r="5" spans="2:7">
      <c r="B5" s="21" t="s">
        <v>102</v>
      </c>
      <c r="C5" s="21" t="s">
        <v>7</v>
      </c>
      <c r="D5" s="22" t="s">
        <v>103</v>
      </c>
      <c r="E5" s="22" t="s">
        <v>104</v>
      </c>
      <c r="F5" s="22" t="s">
        <v>105</v>
      </c>
      <c r="G5" s="22" t="s">
        <v>106</v>
      </c>
    </row>
    <row r="6" spans="2:7">
      <c r="B6" s="32" t="s">
        <v>107</v>
      </c>
      <c r="C6" s="32" t="s">
        <v>40</v>
      </c>
      <c r="D6" s="50">
        <f>IF(C6="","",COUNTIFS('明细'!$N$6:$N$72,'分类汇总'!$B$6,'明细'!$D$6:$D$72,"&lt;&gt;"))</f>
        <v>11.0</v>
      </c>
      <c r="E6" s="51">
        <f>IF(C6="","",SUMIFS('明细'!$D$6:$D$72,'明细'!$N$6:$N$72,'分类汇总'!$B$6,'明细'!$D$6:$D$72,"&gt;0"))</f>
        <v>8788.0</v>
      </c>
      <c r="F6" s="51">
        <f>IF(C6="","",SUMIFS('明细'!$D$6:$D$72,'明细'!$N$6:$N$72,'分类汇总'!$B$6,'明细'!$D$6:$D$72,"&lt;0"))</f>
        <v>-11372.7</v>
      </c>
      <c r="G6" s="52">
        <f>IF(C6="","",E6+F6)</f>
        <v>-2584.7000000000007</v>
      </c>
    </row>
    <row r="7" spans="2:7">
      <c r="B7" s="53" t="s">
        <v>104</v>
      </c>
      <c r="C7" s="54" t="s">
        <v>34</v>
      </c>
      <c r="D7" s="50">
        <f>IF(C7="","",COUNTIFS('明细'!$E$6:$E$72,C7,'明细'!$D$6:$D$72,"&lt;&gt;"))</f>
        <v>5.0</v>
      </c>
      <c r="E7" s="51">
        <f>IF(C7="","",SUMIFS('明细'!$D$6:$D$72,'明细'!$E$6:$E$72,C7,'明细'!$D$6:$D$72,"&gt;0"))</f>
        <v>50800.0</v>
      </c>
      <c r="F7" s="51">
        <f>IF(C7="","",SUMIFS('明细'!$D$6:$D$72,'明细'!$E$6:$E$72,C7,'明细'!$D$6:$D$72,"&lt;0"))</f>
        <v>0.0</v>
      </c>
      <c r="G7" s="52">
        <f>IF(C7="","",E7+F7)</f>
        <v>50800.0</v>
      </c>
    </row>
    <row r="8" spans="2:7">
      <c r="B8" s="55" t="s">
        <v>104</v>
      </c>
      <c r="C8" s="56" t="s">
        <v>98</v>
      </c>
      <c r="D8" s="57">
        <f>IF(C8="","",COUNTIFS('明细'!$E$6:$E$72,C8,'明细'!$D$6:$D$72,"&lt;&gt;"))</f>
        <v>1.0</v>
      </c>
      <c r="E8" s="58">
        <f>IF(C8="","",SUMIFS('明细'!$D$6:$D$72,'明细'!$E$6:$E$72,C8,'明细'!$D$6:$D$72,"&gt;0"))</f>
        <v>12.5</v>
      </c>
      <c r="F8" s="58">
        <f>IF(C8="","",SUMIFS('明细'!$D$6:$D$72,'明细'!$E$6:$E$72,C8,'明细'!$D$6:$D$72,"&lt;0"))</f>
        <v>0.0</v>
      </c>
      <c r="G8" s="59">
        <f>IF(C8="","",E8+F8)</f>
        <v>12.5</v>
      </c>
    </row>
    <row r="9" spans="2:7">
      <c r="B9" s="55" t="s">
        <v>104</v>
      </c>
      <c r="C9" s="56" t="s">
        <v>108</v>
      </c>
      <c r="D9" s="57">
        <f>IF(C9="","",COUNTIFS('明细'!$E$6:$E$72,C9,'明细'!$D$6:$D$72,"&lt;&gt;"))</f>
        <v>0.0</v>
      </c>
      <c r="E9" s="58">
        <f>IF(C9="","",SUMIFS('明细'!$D$6:$D$72,'明细'!$E$6:$E$72,C9,'明细'!$D$6:$D$72,"&gt;0"))</f>
        <v>0.0</v>
      </c>
      <c r="F9" s="58">
        <f>IF(C9="","",SUMIFS('明细'!$D$6:$D$72,'明细'!$E$6:$E$72,C9,'明细'!$D$6:$D$72,"&lt;0"))</f>
        <v>0.0</v>
      </c>
      <c r="G9" s="59">
        <f>IF(C9="","",E9+F9)</f>
        <v>0.0</v>
      </c>
    </row>
    <row r="10" spans="2:7">
      <c r="B10" s="60" t="s">
        <v>105</v>
      </c>
      <c r="C10" s="54" t="s">
        <v>37</v>
      </c>
      <c r="D10" s="50">
        <f>IF(C10="","",COUNTIFS('明细'!$E$6:$E$72,C10,'明细'!$D$6:$D$72,"&lt;&gt;"))</f>
        <v>3.0</v>
      </c>
      <c r="E10" s="51">
        <f>IF(C10="","",SUMIFS('明细'!$D$6:$D$72,'明细'!$E$6:$E$72,C10,'明细'!$D$6:$D$72,"&gt;0"))</f>
        <v>460.0</v>
      </c>
      <c r="F10" s="51">
        <f>IF(C10="","",SUMIFS('明细'!$D$6:$D$72,'明细'!$E$6:$E$72,C10,'明细'!$D$6:$D$72,"&lt;0"))</f>
        <v>-5500.0</v>
      </c>
      <c r="G10" s="52">
        <f>IF(C10="","",E10+F10)</f>
        <v>-5040.0</v>
      </c>
    </row>
    <row r="11" spans="2:7">
      <c r="B11" s="61" t="s">
        <v>105</v>
      </c>
      <c r="C11" s="56" t="s">
        <v>109</v>
      </c>
      <c r="D11" s="57">
        <f>IF(C11="","",COUNTIFS('明细'!$E$6:$E$72,C11,'明细'!$D$6:$D$72,"&lt;&gt;"))</f>
        <v>0.0</v>
      </c>
      <c r="E11" s="58">
        <f>IF(C11="","",SUMIFS('明细'!$D$6:$D$72,'明细'!$E$6:$E$72,C11,'明细'!$D$6:$D$72,"&gt;0"))</f>
        <v>0.0</v>
      </c>
      <c r="F11" s="58">
        <f>IF(C11="","",SUMIFS('明细'!$D$6:$D$72,'明细'!$E$6:$E$72,C11,'明细'!$D$6:$D$72,"&lt;0"))</f>
        <v>0.0</v>
      </c>
      <c r="G11" s="59">
        <f>IF(C11="","",E11+F11)</f>
        <v>0.0</v>
      </c>
    </row>
    <row r="12" spans="2:7">
      <c r="B12" s="61" t="s">
        <v>105</v>
      </c>
      <c r="C12" s="56" t="s">
        <v>29</v>
      </c>
      <c r="D12" s="57">
        <f>IF(C12="","",COUNTIFS('明细'!$E$6:$E$72,C12,'明细'!$D$6:$D$72,"&lt;&gt;"))</f>
        <v>3.0</v>
      </c>
      <c r="E12" s="58">
        <f>IF(C12="","",SUMIFS('明细'!$D$6:$D$72,'明细'!$E$6:$E$72,C12,'明细'!$D$6:$D$72,"&gt;0"))</f>
        <v>0.0</v>
      </c>
      <c r="F12" s="58">
        <f>IF(C12="","",SUMIFS('明细'!$D$6:$D$72,'明细'!$E$6:$E$72,C12,'明细'!$D$6:$D$72,"&lt;0"))</f>
        <v>-19500.0</v>
      </c>
      <c r="G12" s="59">
        <f>IF(C12="","",E12+F12)</f>
        <v>-19500.0</v>
      </c>
    </row>
    <row r="13" spans="2:7">
      <c r="B13" s="61" t="s">
        <v>105</v>
      </c>
      <c r="C13" s="56" t="s">
        <v>42</v>
      </c>
      <c r="D13" s="57">
        <f>IF(C13="","",COUNTIFS('明细'!$E$6:$E$72,C13,'明细'!$D$6:$D$72,"&lt;&gt;"))</f>
        <v>0.0</v>
      </c>
      <c r="E13" s="58">
        <f>IF(C13="","",SUMIFS('明细'!$D$6:$D$72,'明细'!$E$6:$E$72,C13,'明细'!$D$6:$D$72,"&gt;0"))</f>
        <v>0.0</v>
      </c>
      <c r="F13" s="58">
        <f>IF(C13="","",SUMIFS('明细'!$D$6:$D$72,'明细'!$E$6:$E$72,C13,'明细'!$D$6:$D$72,"&lt;0"))</f>
        <v>0.0</v>
      </c>
      <c r="G13" s="59">
        <f>IF(C13="","",E13+F13)</f>
        <v>0.0</v>
      </c>
    </row>
    <row r="14" spans="2:7">
      <c r="B14" s="61" t="s">
        <v>105</v>
      </c>
      <c r="C14" s="56" t="s">
        <v>56</v>
      </c>
      <c r="D14" s="57">
        <f>IF(C14="","",COUNTIFS('明细'!$E$6:$E$72,C14,'明细'!$D$6:$D$72,"&lt;&gt;"))</f>
        <v>3.0</v>
      </c>
      <c r="E14" s="58">
        <f>IF(C14="","",SUMIFS('明细'!$D$6:$D$72,'明细'!$E$6:$E$72,C14,'明细'!$D$6:$D$72,"&gt;0"))</f>
        <v>0.0</v>
      </c>
      <c r="F14" s="58">
        <f>IF(C14="","",SUMIFS('明细'!$D$6:$D$72,'明细'!$E$6:$E$72,C14,'明细'!$D$6:$D$72,"&lt;0"))</f>
        <v>-387.0</v>
      </c>
      <c r="G14" s="59">
        <f>IF(C14="","",E14+F14)</f>
        <v>-387.0</v>
      </c>
    </row>
    <row r="15" spans="2:7">
      <c r="B15" s="61" t="s">
        <v>105</v>
      </c>
      <c r="C15" s="56" t="s">
        <v>66</v>
      </c>
      <c r="D15" s="57">
        <f>IF(C15="","",COUNTIFS('明细'!$E$6:$E$72,C15,'明细'!$D$6:$D$72,"&lt;&gt;"))</f>
        <v>1.0</v>
      </c>
      <c r="E15" s="58">
        <f>IF(C15="","",SUMIFS('明细'!$D$6:$D$72,'明细'!$E$6:$E$72,C15,'明细'!$D$6:$D$72,"&gt;0"))</f>
        <v>0.0</v>
      </c>
      <c r="F15" s="58">
        <f>IF(C15="","",SUMIFS('明细'!$D$6:$D$72,'明细'!$E$6:$E$72,C15,'明细'!$D$6:$D$72,"&lt;0"))</f>
        <v>-680.0</v>
      </c>
      <c r="G15" s="59">
        <f>IF(C15="","",E15+F15)</f>
        <v>-680.0</v>
      </c>
    </row>
    <row r="16" spans="2:7">
      <c r="B16" s="61" t="s">
        <v>105</v>
      </c>
      <c r="C16" s="56" t="s">
        <v>110</v>
      </c>
      <c r="D16" s="57">
        <f>IF(C16="","",COUNTIFS('明细'!$E$6:$E$72,C16,'明细'!$D$6:$D$72,"&lt;&gt;"))</f>
        <v>0.0</v>
      </c>
      <c r="E16" s="58">
        <f>IF(C16="","",SUMIFS('明细'!$D$6:$D$72,'明细'!$E$6:$E$72,C16,'明细'!$D$6:$D$72,"&gt;0"))</f>
        <v>0.0</v>
      </c>
      <c r="F16" s="58">
        <f>IF(C16="","",SUMIFS('明细'!$D$6:$D$72,'明细'!$E$6:$E$72,C16,'明细'!$D$6:$D$72,"&lt;0"))</f>
        <v>0.0</v>
      </c>
      <c r="G16" s="59">
        <f>IF(C16="","",E16+F16)</f>
        <v>0.0</v>
      </c>
    </row>
    <row r="17" spans="2:7">
      <c r="B17" s="61" t="s">
        <v>105</v>
      </c>
      <c r="C17" s="56" t="s">
        <v>111</v>
      </c>
      <c r="D17" s="57">
        <f>IF(C17="","",COUNTIFS('明细'!$E$6:$E$72,C17,'明细'!$D$6:$D$72,"&lt;&gt;"))</f>
        <v>0.0</v>
      </c>
      <c r="E17" s="58">
        <f>IF(C17="","",SUMIFS('明细'!$D$6:$D$72,'明细'!$E$6:$E$72,C17,'明细'!$D$6:$D$72,"&gt;0"))</f>
        <v>0.0</v>
      </c>
      <c r="F17" s="58">
        <f>IF(C17="","",SUMIFS('明细'!$D$6:$D$72,'明细'!$E$6:$E$72,C17,'明细'!$D$6:$D$72,"&lt;0"))</f>
        <v>0.0</v>
      </c>
      <c r="G17" s="59">
        <f>IF(C17="","",E17+F17)</f>
        <v>0.0</v>
      </c>
    </row>
    <row r="18" spans="2:7">
      <c r="B18" s="61" t="s">
        <v>105</v>
      </c>
      <c r="C18" s="56" t="s">
        <v>81</v>
      </c>
      <c r="D18" s="57">
        <f>IF(C18="","",COUNTIFS('明细'!$E$6:$E$72,C18,'明细'!$D$6:$D$72,"&lt;&gt;"))</f>
        <v>1.0</v>
      </c>
      <c r="E18" s="58">
        <f>IF(C18="","",SUMIFS('明细'!$D$6:$D$72,'明细'!$E$6:$E$72,C18,'明细'!$D$6:$D$72,"&gt;0"))</f>
        <v>0.0</v>
      </c>
      <c r="F18" s="58">
        <f>IF(C18="","",SUMIFS('明细'!$D$6:$D$72,'明细'!$E$6:$E$72,C18,'明细'!$D$6:$D$72,"&lt;0"))</f>
        <v>-28.0</v>
      </c>
      <c r="G18" s="59">
        <f>IF(C18="","",E18+F18)</f>
        <v>-28.0</v>
      </c>
    </row>
    <row r="19" spans="2:7">
      <c r="B19" s="61" t="s">
        <v>105</v>
      </c>
      <c r="C19" s="56" t="s">
        <v>63</v>
      </c>
      <c r="D19" s="57">
        <f>IF(C19="","",COUNTIFS('明细'!$E$6:$E$72,C19,'明细'!$D$6:$D$72,"&lt;&gt;"))</f>
        <v>1.0</v>
      </c>
      <c r="E19" s="58">
        <f>IF(C19="","",SUMIFS('明细'!$D$6:$D$72,'明细'!$E$6:$E$72,C19,'明细'!$D$6:$D$72,"&gt;0"))</f>
        <v>0.0</v>
      </c>
      <c r="F19" s="58">
        <f>IF(C19="","",SUMIFS('明细'!$D$6:$D$72,'明细'!$E$6:$E$72,C19,'明细'!$D$6:$D$72,"&lt;0"))</f>
        <v>-980.0</v>
      </c>
      <c r="G19" s="59">
        <f>IF(C19="","",E19+F19)</f>
        <v>-980.0</v>
      </c>
    </row>
    <row r="20" spans="2:7">
      <c r="B20" s="61" t="s">
        <v>105</v>
      </c>
      <c r="C20" s="56" t="s">
        <v>52</v>
      </c>
      <c r="D20" s="57">
        <f>IF(C20="","",COUNTIFS('明细'!$E$6:$E$72,C20,'明细'!$D$6:$D$72,"&lt;&gt;"))</f>
        <v>2.0</v>
      </c>
      <c r="E20" s="58">
        <f>IF(C20="","",SUMIFS('明细'!$D$6:$D$72,'明细'!$E$6:$E$72,C20,'明细'!$D$6:$D$72,"&gt;0"))</f>
        <v>0.0</v>
      </c>
      <c r="F20" s="58">
        <f>IF(C20="","",SUMIFS('明细'!$D$6:$D$72,'明细'!$E$6:$E$72,C20,'明细'!$D$6:$D$72,"&lt;0"))</f>
        <v>-24.0</v>
      </c>
      <c r="G20" s="59">
        <f>IF(C20="","",E20+F20)</f>
        <v>-24.0</v>
      </c>
    </row>
    <row r="21" spans="2:7">
      <c r="B21" s="61" t="s">
        <v>105</v>
      </c>
      <c r="C21" s="56" t="s">
        <v>78</v>
      </c>
      <c r="D21" s="57">
        <f>IF(C21="","",COUNTIFS('明细'!$E$6:$E$72,C21,'明细'!$D$6:$D$72,"&lt;&gt;"))</f>
        <v>1.0</v>
      </c>
      <c r="E21" s="58">
        <f>IF(C21="","",SUMIFS('明细'!$D$6:$D$72,'明细'!$E$6:$E$72,C21,'明细'!$D$6:$D$72,"&gt;0"))</f>
        <v>0.0</v>
      </c>
      <c r="F21" s="58">
        <f>IF(C21="","",SUMIFS('明细'!$D$6:$D$72,'明细'!$E$6:$E$72,C21,'明细'!$D$6:$D$72,"&lt;0"))</f>
        <v>-600.0</v>
      </c>
      <c r="G21" s="59">
        <f>IF(C21="","",E21+F21)</f>
        <v>-600.0</v>
      </c>
    </row>
    <row r="22" spans="2:7">
      <c r="B22" s="61" t="s">
        <v>105</v>
      </c>
      <c r="C22" s="56" t="s">
        <v>112</v>
      </c>
      <c r="D22" s="57">
        <f>IF(C22="","",COUNTIFS('明细'!$E$6:$E$72,C22,'明细'!$D$6:$D$72,"&lt;&gt;"))</f>
        <v>0.0</v>
      </c>
      <c r="E22" s="58">
        <f>IF(C22="","",SUMIFS('明细'!$D$6:$D$72,'明细'!$E$6:$E$72,C22,'明细'!$D$6:$D$72,"&gt;0"))</f>
        <v>0.0</v>
      </c>
      <c r="F22" s="58">
        <f>IF(C22="","",SUMIFS('明细'!$D$6:$D$72,'明细'!$E$6:$E$72,C22,'明细'!$D$6:$D$72,"&lt;0"))</f>
        <v>0.0</v>
      </c>
      <c r="G22" s="59">
        <f>IF(C22="","",E22+F22)</f>
        <v>0.0</v>
      </c>
    </row>
    <row r="23" spans="2:7">
      <c r="B23" s="62" t="s">
        <v>85</v>
      </c>
      <c r="C23" s="54" t="s">
        <v>85</v>
      </c>
      <c r="D23" s="50">
        <f>IF(C23="","",COUNTIFS('明细'!$E$6:$E$72,C23,'明细'!$D$6:$D$72,"&lt;&gt;"))</f>
        <v>1.0</v>
      </c>
      <c r="E23" s="51">
        <f>IF(C23="","",SUMIFS('明细'!$D$6:$D$72,'明细'!$E$6:$E$72,C23,'明细'!$D$6:$D$72,"&gt;0"))</f>
        <v>0.0</v>
      </c>
      <c r="F23" s="51">
        <f>IF(C23="","",SUMIFS('明细'!$D$6:$D$72,'明细'!$E$6:$E$72,C23,'明细'!$D$6:$D$72,"&lt;0"))</f>
        <v>-4200.0</v>
      </c>
      <c r="G23" s="52">
        <f>IF(C23="","",E23+F23)</f>
        <v>-4200.0</v>
      </c>
    </row>
    <row r="24" spans="2:7">
      <c r="B24" s="63" t="s">
        <v>48</v>
      </c>
      <c r="C24" s="54" t="s">
        <v>48</v>
      </c>
      <c r="D24" s="50">
        <f>IF(C24="","",COUNTIFS('明细'!$E$6:$E$72,C24,'明细'!$D$6:$D$72,"&lt;&gt;"))</f>
        <v>1.0</v>
      </c>
      <c r="E24" s="51">
        <f>IF(C24="","",SUMIFS('明细'!$D$6:$D$72,'明细'!$E$6:$E$72,C24,'明细'!$D$6:$D$72,"&gt;0"))</f>
        <v>0.0</v>
      </c>
      <c r="F24" s="51">
        <f>IF(C24="","",SUMIFS('明细'!$D$6:$D$72,'明细'!$E$6:$E$72,C24,'明细'!$D$6:$D$72,"&lt;0"))</f>
        <v>-686.4</v>
      </c>
      <c r="G24" s="52">
        <f>IF(C24="","",E24+F24)</f>
        <v>-686.4</v>
      </c>
    </row>
    <row r="25" spans="2:7">
      <c r="B25" s="64" t="s">
        <v>72</v>
      </c>
      <c r="C25" s="54" t="s">
        <v>72</v>
      </c>
      <c r="D25" s="50">
        <f>IF(C25="","",COUNTIFS('明细'!$E$6:$E$72,C25,'明细'!$D$6:$D$72,"&lt;&gt;"))</f>
        <v>1.0</v>
      </c>
      <c r="E25" s="51">
        <f>IF(C25="","",SUMIFS('明细'!$D$6:$D$72,'明细'!$E$6:$E$72,C25,'明细'!$D$6:$D$72,"&gt;0"))</f>
        <v>0.0</v>
      </c>
      <c r="F25" s="51">
        <f>IF(C25="","",SUMIFS('明细'!$D$6:$D$72,'明细'!$E$6:$E$72,C25,'明细'!$D$6:$D$72,"&lt;0"))</f>
        <v>-18600.0</v>
      </c>
      <c r="G25" s="52">
        <f>IF(C25="","",E25+F25)</f>
        <v>-18600.0</v>
      </c>
    </row>
    <row r="26" spans="2:7">
      <c r="B26" s="65" t="s">
        <v>44</v>
      </c>
      <c r="C26" s="54" t="s">
        <v>44</v>
      </c>
      <c r="D26" s="50">
        <f>IF(C26="","",COUNTIFS('明细'!$E$6:$E$72,C26,'明细'!$D$6:$D$72,"&lt;&gt;"))</f>
        <v>2.0</v>
      </c>
      <c r="E26" s="51">
        <f>IF(C26="","",SUMIFS('明细'!$D$6:$D$72,'明细'!$E$6:$E$72,C26,'明细'!$D$6:$D$72,"&gt;0"))</f>
        <v>0.0</v>
      </c>
      <c r="F26" s="51">
        <f>IF(C26="","",SUMIFS('明细'!$D$6:$D$72,'明细'!$E$6:$E$72,C26,'明细'!$D$6:$D$72,"&lt;0"))</f>
        <v>-9000.0</v>
      </c>
      <c r="G26" s="52">
        <f>IF(C26="","",E26+F26)</f>
        <v>-9000.0</v>
      </c>
    </row>
    <row r="27" spans="2:7">
      <c r="B27" s="65" t="s">
        <v>94</v>
      </c>
      <c r="C27" s="54" t="s">
        <v>94</v>
      </c>
      <c r="D27" s="50">
        <f>IF(C27="","",COUNTIFS('明细'!$E$6:$E$72,C27,'明细'!$D$6:$D$72,"&lt;&gt;"))</f>
        <v>0.0</v>
      </c>
      <c r="E27" s="51">
        <f>IF(C27="","",SUMIFS('明细'!$D$6:$D$72,'明细'!$E$6:$E$72,C27,'明细'!$D$6:$D$72,"&gt;0"))</f>
        <v>0.0</v>
      </c>
      <c r="F27" s="51">
        <f>IF(C27="","",SUMIFS('明细'!$D$6:$D$72,'明细'!$E$6:$E$72,C27,'明细'!$D$6:$D$72,"&lt;0"))</f>
        <v>0.0</v>
      </c>
      <c r="G27" s="52">
        <f>IF(C27="","",E27+F27)</f>
        <v>0.0</v>
      </c>
    </row>
    <row r="28" spans="2:7">
      <c r="B28" s="66" t="s">
        <v>113</v>
      </c>
      <c r="C28" s="54" t="s">
        <v>114</v>
      </c>
      <c r="D28" s="50">
        <f>IF(C28="","",COUNTIFS('明细'!$E$6:$E$72,C28,'明细'!$D$6:$D$72,"&lt;&gt;"))</f>
        <v>0.0</v>
      </c>
      <c r="E28" s="51">
        <f>IF(C28="","",SUMIFS('明细'!$D$6:$D$72,'明细'!$E$6:$E$72,C28,'明细'!$D$6:$D$72,"&gt;0"))</f>
        <v>0.0</v>
      </c>
      <c r="F28" s="51">
        <f>IF(C28="","",SUMIFS('明细'!$D$6:$D$72,'明细'!$E$6:$E$72,C28,'明细'!$D$6:$D$72,"&lt;0"))</f>
        <v>0.0</v>
      </c>
      <c r="G28" s="52">
        <f>IF(C28="","",E28+F28)</f>
        <v>0.0</v>
      </c>
    </row>
    <row r="29" spans="2:7">
      <c r="B29" s="60" t="s">
        <v>105</v>
      </c>
      <c r="C29" s="67"/>
      <c r="D29" s="50" t="str">
        <f>IF(C29="","",COUNTIFS('明细'!$E$6:$E$72,C29,'明细'!$D$6:$D$72,"&lt;&gt;"))</f>
        <v/>
      </c>
      <c r="E29" s="51" t="str">
        <f>IF(C29="","",SUMIFS('明细'!$D$6:$D$72,'明细'!$E$6:$E$72,C29,'明细'!$D$6:$D$72,"&gt;0"))</f>
        <v/>
      </c>
      <c r="F29" s="51" t="str">
        <f>IF(C29="","",SUMIFS('明细'!$D$6:$D$72,'明细'!$E$6:$E$72,C29,'明细'!$D$6:$D$72,"&lt;0"))</f>
        <v/>
      </c>
      <c r="G29" s="52" t="str">
        <f>IF(C29="","",E29+F29)</f>
        <v/>
      </c>
    </row>
    <row r="30" spans="2:7">
      <c r="B30" s="61" t="s">
        <v>105</v>
      </c>
      <c r="C30" s="68"/>
      <c r="D30" s="57" t="str">
        <f>IF(C30="","",COUNTIFS('明细'!$E$6:$E$72,C30,'明细'!$D$6:$D$72,"&lt;&gt;"))</f>
        <v/>
      </c>
      <c r="E30" s="58" t="str">
        <f>IF(C30="","",SUMIFS('明细'!$D$6:$D$72,'明细'!$E$6:$E$72,C30,'明细'!$D$6:$D$72,"&gt;0"))</f>
        <v/>
      </c>
      <c r="F30" s="58" t="str">
        <f>IF(C30="","",SUMIFS('明细'!$D$6:$D$72,'明细'!$E$6:$E$72,C30,'明细'!$D$6:$D$72,"&lt;0"))</f>
        <v/>
      </c>
      <c r="G30" s="59" t="str">
        <f>IF(C30="","",E30+F30)</f>
        <v/>
      </c>
    </row>
    <row r="31" spans="2:7">
      <c r="B31" s="61" t="s">
        <v>105</v>
      </c>
      <c r="C31" s="68"/>
      <c r="D31" s="57" t="str">
        <f>IF(C31="","",COUNTIFS('明细'!$E$6:$E$72,C31,'明细'!$D$6:$D$72,"&lt;&gt;"))</f>
        <v/>
      </c>
      <c r="E31" s="58" t="str">
        <f>IF(C31="","",SUMIFS('明细'!$D$6:$D$72,'明细'!$E$6:$E$72,C31,'明细'!$D$6:$D$72,"&gt;0"))</f>
        <v/>
      </c>
      <c r="F31" s="58" t="str">
        <f>IF(C31="","",SUMIFS('明细'!$D$6:$D$72,'明细'!$E$6:$E$72,C31,'明细'!$D$6:$D$72,"&lt;0"))</f>
        <v/>
      </c>
      <c r="G31" s="59" t="str">
        <f>IF(C31="","",E31+F31)</f>
        <v/>
      </c>
    </row>
    <row r="32" spans="2:7">
      <c r="B32" s="69" t="s">
        <v>115</v>
      </c>
      <c r="C32" s="70"/>
      <c r="D32" s="70"/>
      <c r="E32" s="70"/>
      <c r="F32" s="70"/>
      <c r="G32" s="71">
        <f>SUM(G6:G31)-G28</f>
        <v>-11497.599999999997</v>
      </c>
    </row>
    <row r="33" spans="2:7">
      <c r="B33" s="1" t="s">
        <v>116</v>
      </c>
      <c r="G33" s="72">
        <f>SUMIFS('明细'!$D$6:$D$72,'明细'!$N$6:$N$72,"&lt;&gt;"&amp;$B$28)</f>
        <v>-11497.6</v>
      </c>
    </row>
    <row r="34" spans="2:7">
      <c r="B34" s="1" t="s">
        <v>117</v>
      </c>
      <c r="G34" s="73">
        <f>ROUND(G32-G33,2)</f>
        <v>0.0</v>
      </c>
    </row>
    <row r="36" spans="2:7">
      <c r="B36" s="74" t="s">
        <v>118</v>
      </c>
    </row>
    <row r="37" spans="2:7">
      <c r="B37" s="31" t="s">
        <v>102</v>
      </c>
      <c r="C37" s="75"/>
      <c r="D37" s="22" t="s">
        <v>103</v>
      </c>
      <c r="E37" s="22" t="s">
        <v>106</v>
      </c>
    </row>
    <row r="38" spans="2:7">
      <c r="B38" s="10" t="s">
        <v>107</v>
      </c>
      <c r="C38" s="41"/>
      <c r="D38" s="76">
        <f>SUMIFS('分类汇总'!$D$6:$D$31,'分类汇总'!$B$6:$B$31,B38)</f>
        <v>11.0</v>
      </c>
      <c r="E38" s="11">
        <f>SUMIFS('分类汇总'!$G$6:$G$31,'分类汇总'!$B$6:$B$31,B38)</f>
        <v>-2584.7000000000007</v>
      </c>
    </row>
    <row r="39" spans="2:7">
      <c r="B39" s="14" t="s">
        <v>104</v>
      </c>
      <c r="C39" s="41"/>
      <c r="D39" s="76">
        <f>SUMIFS('分类汇总'!$D$6:$D$31,'分类汇总'!$B$6:$B$31,B39)</f>
        <v>6.0</v>
      </c>
      <c r="E39" s="11">
        <f>SUMIFS('分类汇总'!$G$6:$G$31,'分类汇总'!$B$6:$B$31,B39)</f>
        <v>50812.5</v>
      </c>
    </row>
    <row r="40" spans="2:7">
      <c r="B40" s="13" t="s">
        <v>105</v>
      </c>
      <c r="C40" s="41"/>
      <c r="D40" s="76">
        <f>SUMIFS('分类汇总'!$D$6:$D$31,'分类汇总'!$B$6:$B$31,B40)</f>
        <v>15.0</v>
      </c>
      <c r="E40" s="11">
        <f>SUMIFS('分类汇总'!$G$6:$G$31,'分类汇总'!$B$6:$B$31,B40)</f>
        <v>-27239.0</v>
      </c>
    </row>
    <row r="41" spans="2:7">
      <c r="B41" s="15" t="s">
        <v>85</v>
      </c>
      <c r="C41" s="41"/>
      <c r="D41" s="76">
        <f>SUMIFS('分类汇总'!$D$6:$D$31,'分类汇总'!$B$6:$B$31,B41)</f>
        <v>1.0</v>
      </c>
      <c r="E41" s="11">
        <f>SUMIFS('分类汇总'!$G$6:$G$31,'分类汇总'!$B$6:$B$31,B41)</f>
        <v>-4200.0</v>
      </c>
    </row>
    <row r="42" spans="2:7">
      <c r="B42" s="16" t="s">
        <v>48</v>
      </c>
      <c r="C42" s="41"/>
      <c r="D42" s="76">
        <f>SUMIFS('分类汇总'!$D$6:$D$31,'分类汇总'!$B$6:$B$31,B42)</f>
        <v>1.0</v>
      </c>
      <c r="E42" s="11">
        <f>SUMIFS('分类汇总'!$G$6:$G$31,'分类汇总'!$B$6:$B$31,B42)</f>
        <v>-686.4</v>
      </c>
    </row>
    <row r="43" spans="2:7">
      <c r="B43" s="17" t="s">
        <v>72</v>
      </c>
      <c r="C43" s="41"/>
      <c r="D43" s="76">
        <f>SUMIFS('分类汇总'!$D$6:$D$31,'分类汇总'!$B$6:$B$31,B43)</f>
        <v>1.0</v>
      </c>
      <c r="E43" s="11">
        <f>SUMIFS('分类汇总'!$G$6:$G$31,'分类汇总'!$B$6:$B$31,B43)</f>
        <v>-18600.0</v>
      </c>
    </row>
    <row r="44" spans="2:7">
      <c r="B44" s="18" t="s">
        <v>44</v>
      </c>
      <c r="C44" s="41"/>
      <c r="D44" s="76">
        <f>SUMIFS('分类汇总'!$D$6:$D$31,'分类汇总'!$B$6:$B$31,B44)</f>
        <v>2.0</v>
      </c>
      <c r="E44" s="11">
        <f>SUMIFS('分类汇总'!$G$6:$G$31,'分类汇总'!$B$6:$B$31,B44)</f>
        <v>-9000.0</v>
      </c>
    </row>
    <row r="45" spans="2:7">
      <c r="B45" s="18" t="s">
        <v>94</v>
      </c>
      <c r="C45" s="41"/>
      <c r="D45" s="76">
        <f>SUMIFS('分类汇总'!$D$6:$D$31,'分类汇总'!$B$6:$B$31,B45)</f>
        <v>0.0</v>
      </c>
      <c r="E45" s="11">
        <f>SUMIFS('分类汇总'!$G$6:$G$31,'分类汇总'!$B$6:$B$31,B45)</f>
        <v>0.0</v>
      </c>
    </row>
    <row r="46" spans="2:7">
      <c r="B46" s="19" t="s">
        <v>113</v>
      </c>
      <c r="C46" s="41"/>
      <c r="D46" s="76">
        <f>SUMIFS('分类汇总'!$D$6:$D$31,'分类汇总'!$B$6:$B$31,B46)</f>
        <v>0.0</v>
      </c>
      <c r="E46" s="11">
        <f>SUMIFS('分类汇总'!$G$6:$G$31,'分类汇总'!$B$6:$B$31,B46)</f>
        <v>0.0</v>
      </c>
    </row>
  </sheetData>
  <conditionalFormatting sqref="C6:G6">
    <cfRule type="expression" dxfId="9" priority="1">
      <formula>$D$6&gt;0</formula>
    </cfRule>
  </conditionalFormatting>
  <pageMargins left="0.4" right="0.4" top="0.45" bottom="0.4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16203A"/>
    <pageSetUpPr fitToPage="1"/>
  </sheetPr>
  <dimension ref="A2:AE5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3.28515625" style="1" customWidth="1"/>
    <col min="2" max="2" width="30.7109375" style="1" customWidth="1"/>
    <col min="3" max="13" width="14.7109375" style="1" customWidth="1"/>
    <col min="14" max="31" width="9.7109375" style="1" customWidth="1"/>
  </cols>
  <sheetData>
    <row r="2" spans="2:11" s="1" customFormat="1" ht="27.75" customHeight="1">
      <c r="B2" s="37" t="s">
        <v>119</v>
      </c>
    </row>
    <row r="3" spans="2:11">
      <c r="B3" s="5" t="s">
        <v>2</v>
      </c>
    </row>
    <row r="5" spans="2:11" s="1" customFormat="1" ht="32.25" customHeight="1">
      <c r="B5" s="77" t="s">
        <v>120</v>
      </c>
      <c r="C5" s="78" t="s">
        <v>104</v>
      </c>
      <c r="D5" s="78" t="s">
        <v>105</v>
      </c>
      <c r="E5" s="78" t="s">
        <v>85</v>
      </c>
      <c r="F5" s="78" t="s">
        <v>48</v>
      </c>
      <c r="G5" s="78" t="s">
        <v>72</v>
      </c>
      <c r="H5" s="78" t="s">
        <v>44</v>
      </c>
      <c r="I5" s="78" t="s">
        <v>94</v>
      </c>
      <c r="J5" s="78" t="s">
        <v>107</v>
      </c>
      <c r="K5" s="78" t="s">
        <v>121</v>
      </c>
    </row>
    <row r="6" spans="2:11">
      <c r="B6" s="79">
        <f>DATE(YEAR(MIN('明细'!$B$6:$B$72)),MONTH(MIN('明细'!$B$6:$B$72)),1)</f>
        <v>46235.0</v>
      </c>
      <c r="C6" s="80">
        <f>SUMIFS('明细'!$D$6:$D$72,'明细'!$M$6:$M$72,$B6,'明细'!$N$6:$N$72,'分类汇总'!$B$39)</f>
        <v>18000.0</v>
      </c>
      <c r="D6" s="80">
        <f>-SUMIFS('明细'!$D$6:$D$72,'明细'!$M$6:$M$72,$B6,'明细'!$N$6:$N$72,'分类汇总'!$B$40)</f>
        <v>10681.0</v>
      </c>
      <c r="E6" s="80">
        <f>-SUMIFS('明细'!$D$6:$D$72,'明细'!$M$6:$M$72,$B6,'明细'!$N$6:$N$72,'分类汇总'!$B$41)</f>
        <v>-0.0</v>
      </c>
      <c r="F6" s="80">
        <f>-SUMIFS('明细'!$D$6:$D$72,'明细'!$M$6:$M$72,$B6,'明细'!$N$6:$N$72,'分类汇总'!$B$42)</f>
        <v>686.4</v>
      </c>
      <c r="G6" s="80">
        <f>-SUMIFS('明细'!$D$6:$D$72,'明细'!$M$6:$M$72,$B6,'明细'!$N$6:$N$72,'分类汇总'!$B$43)</f>
        <v>-0.0</v>
      </c>
      <c r="H6" s="80">
        <f>SUMIFS('明细'!$D$6:$D$72,'明细'!$M$6:$M$72,$B6,'明细'!$N$6:$N$72,'分类汇总'!$B$44)</f>
        <v>-5000.0</v>
      </c>
      <c r="I6" s="80">
        <f>SUMIFS('明细'!$D$6:$D$72,'明细'!$M$6:$M$72,$B6,'明细'!$N$6:$N$72,'分类汇总'!$B$45)</f>
        <v>0.0</v>
      </c>
      <c r="J6" s="80">
        <f>SUMIFS('明细'!$D$6:$D$72,'明细'!$M$6:$M$72,$B6,'明细'!$N$6:$N$72,'分类汇总'!$B$38,'明细'!$D$6:$D$72,"&gt;0")-SUMIFS('明细'!$D$6:$D$72,'明细'!$M$6:$M$72,$B6,'明细'!$N$6:$N$72,'分类汇总'!$B$38,'明细'!$D$6:$D$72,"&lt;0")</f>
        <v>11012.3</v>
      </c>
      <c r="K6" s="11">
        <f>SUMIFS('明细'!$D$6:$D$72,'明细'!$M$6:$M$72,$B6,'明细'!$N$6:$N$72,"&lt;&gt;"&amp;'分类汇总'!$B$28)</f>
        <v>7820.299999999999</v>
      </c>
    </row>
    <row r="7" spans="2:11">
      <c r="B7" s="79">
        <f>EDATE(B6,1)</f>
        <v>46266.0</v>
      </c>
      <c r="C7" s="80">
        <f>SUMIFS('明细'!$D$6:$D$72,'明细'!$M$6:$M$72,$B7,'明细'!$N$6:$N$72,'分类汇总'!$B$39)</f>
        <v>17600.0</v>
      </c>
      <c r="D7" s="80">
        <f>-SUMIFS('明细'!$D$6:$D$72,'明细'!$M$6:$M$72,$B7,'明细'!$N$6:$N$72,'分类汇总'!$B$40)</f>
        <v>9929.0</v>
      </c>
      <c r="E7" s="80">
        <f>-SUMIFS('明细'!$D$6:$D$72,'明细'!$M$6:$M$72,$B7,'明细'!$N$6:$N$72,'分类汇总'!$B$41)</f>
        <v>4200.0</v>
      </c>
      <c r="F7" s="80">
        <f>-SUMIFS('明细'!$D$6:$D$72,'明细'!$M$6:$M$72,$B7,'明细'!$N$6:$N$72,'分类汇总'!$B$42)</f>
        <v>-0.0</v>
      </c>
      <c r="G7" s="80">
        <f>-SUMIFS('明细'!$D$6:$D$72,'明细'!$M$6:$M$72,$B7,'明细'!$N$6:$N$72,'分类汇总'!$B$43)</f>
        <v>18600.0</v>
      </c>
      <c r="H7" s="80">
        <f>SUMIFS('明细'!$D$6:$D$72,'明细'!$M$6:$M$72,$B7,'明细'!$N$6:$N$72,'分类汇总'!$B$44)</f>
        <v>0.0</v>
      </c>
      <c r="I7" s="80">
        <f>SUMIFS('明细'!$D$6:$D$72,'明细'!$M$6:$M$72,$B7,'明细'!$N$6:$N$72,'分类汇总'!$B$45)</f>
        <v>0.0</v>
      </c>
      <c r="J7" s="80">
        <f>SUMIFS('明细'!$D$6:$D$72,'明细'!$M$6:$M$72,$B7,'明细'!$N$6:$N$72,'分类汇总'!$B$38,'明细'!$D$6:$D$72,"&gt;0")-SUMIFS('明细'!$D$6:$D$72,'明细'!$M$6:$M$72,$B7,'明细'!$N$6:$N$72,'分类汇总'!$B$38,'明细'!$D$6:$D$72,"&lt;0")</f>
        <v>4114.8</v>
      </c>
      <c r="K7" s="11">
        <f>SUMIFS('明细'!$D$6:$D$72,'明细'!$M$6:$M$72,$B7,'明细'!$N$6:$N$72,"&lt;&gt;"&amp;'分类汇总'!$B$28)</f>
        <v>-18867.8</v>
      </c>
    </row>
    <row r="8" spans="2:11">
      <c r="B8" s="79">
        <f>EDATE(B7,1)</f>
        <v>46296.0</v>
      </c>
      <c r="C8" s="80">
        <f>SUMIFS('明细'!$D$6:$D$72,'明细'!$M$6:$M$72,$B8,'明细'!$N$6:$N$72,'分类汇总'!$B$39)</f>
        <v>15212.5</v>
      </c>
      <c r="D8" s="80">
        <f>-SUMIFS('明细'!$D$6:$D$72,'明细'!$M$6:$M$72,$B8,'明细'!$N$6:$N$72,'分类汇总'!$B$40)</f>
        <v>6629.0</v>
      </c>
      <c r="E8" s="80">
        <f>-SUMIFS('明细'!$D$6:$D$72,'明细'!$M$6:$M$72,$B8,'明细'!$N$6:$N$72,'分类汇总'!$B$41)</f>
        <v>-0.0</v>
      </c>
      <c r="F8" s="80">
        <f>-SUMIFS('明细'!$D$6:$D$72,'明细'!$M$6:$M$72,$B8,'明细'!$N$6:$N$72,'分类汇总'!$B$42)</f>
        <v>-0.0</v>
      </c>
      <c r="G8" s="80">
        <f>-SUMIFS('明细'!$D$6:$D$72,'明细'!$M$6:$M$72,$B8,'明细'!$N$6:$N$72,'分类汇总'!$B$43)</f>
        <v>-0.0</v>
      </c>
      <c r="H8" s="80">
        <f>SUMIFS('明细'!$D$6:$D$72,'明细'!$M$6:$M$72,$B8,'明细'!$N$6:$N$72,'分类汇总'!$B$44)</f>
        <v>-4000.0</v>
      </c>
      <c r="I8" s="80">
        <f>SUMIFS('明细'!$D$6:$D$72,'明细'!$M$6:$M$72,$B8,'明细'!$N$6:$N$72,'分类汇总'!$B$45)</f>
        <v>0.0</v>
      </c>
      <c r="J8" s="80">
        <f>SUMIFS('明细'!$D$6:$D$72,'明细'!$M$6:$M$72,$B8,'明细'!$N$6:$N$72,'分类汇总'!$B$38,'明细'!$D$6:$D$72,"&gt;0")-SUMIFS('明细'!$D$6:$D$72,'明细'!$M$6:$M$72,$B8,'明细'!$N$6:$N$72,'分类汇总'!$B$38,'明细'!$D$6:$D$72,"&lt;0")</f>
        <v>5033.6</v>
      </c>
      <c r="K8" s="11">
        <f>SUMIFS('明细'!$D$6:$D$72,'明细'!$M$6:$M$72,$B8,'明细'!$N$6:$N$72,"&lt;&gt;"&amp;'分类汇总'!$B$28)</f>
        <v>-450.10000000000036</v>
      </c>
    </row>
    <row r="9" spans="2:11">
      <c r="B9" s="69" t="s">
        <v>122</v>
      </c>
      <c r="C9" s="71">
        <f>SUM(C6:C8)</f>
        <v>50812.5</v>
      </c>
      <c r="D9" s="71">
        <f>SUM(D6:D8)</f>
        <v>27239.0</v>
      </c>
      <c r="E9" s="71">
        <f>SUM(E6:E8)</f>
        <v>4200.0</v>
      </c>
      <c r="F9" s="71">
        <f>SUM(F6:F8)</f>
        <v>686.4</v>
      </c>
      <c r="G9" s="71">
        <f>SUM(G6:G8)</f>
        <v>18600.0</v>
      </c>
      <c r="H9" s="71">
        <f>SUM(H6:H8)</f>
        <v>-9000.0</v>
      </c>
      <c r="I9" s="71">
        <f>SUM(I6:I8)</f>
        <v>0.0</v>
      </c>
      <c r="J9" s="71">
        <f>SUM(J6:J8)</f>
        <v>20160.699999999997</v>
      </c>
      <c r="K9" s="71">
        <f>SUM(K6:K8)</f>
        <v>-11497.6</v>
      </c>
    </row>
    <row r="27" spans="2:5">
      <c r="B27" s="74" t="s">
        <v>123</v>
      </c>
    </row>
    <row r="28" spans="2:5">
      <c r="B28" s="31" t="s">
        <v>7</v>
      </c>
      <c r="C28" s="81">
        <f>$B$6</f>
        <v>46235.0</v>
      </c>
      <c r="D28" s="81">
        <f>$B$7</f>
        <v>46266.0</v>
      </c>
      <c r="E28" s="81">
        <f>$B$8</f>
        <v>46296.0</v>
      </c>
    </row>
    <row r="29" spans="2:5">
      <c r="B29" s="41" t="str">
        <f>IF('分类汇总'!$C$6="","",'分类汇总'!$C$6)</f>
        <v>待你决定</v>
      </c>
      <c r="C29" s="80">
        <f>IF($B29="","",SUMIFS('明细'!$D$6:$D$72,'明细'!$M$6:$M$72,C$28,'明细'!$N$6:$N$72,'分类汇总'!$B$6))</f>
        <v>6187.7</v>
      </c>
      <c r="D29" s="80">
        <f>IF($B29="","",SUMIFS('明细'!$D$6:$D$72,'明细'!$M$6:$M$72,D$28,'明细'!$N$6:$N$72,'分类汇总'!$B$6))</f>
        <v>-3738.8</v>
      </c>
      <c r="E29" s="80">
        <f>IF($B29="","",SUMIFS('明细'!$D$6:$D$72,'明细'!$M$6:$M$72,E$28,'明细'!$N$6:$N$72,'分类汇总'!$B$6))</f>
        <v>-5033.6</v>
      </c>
    </row>
    <row r="30" spans="2:5">
      <c r="B30" s="41" t="str">
        <f>IF('分类汇总'!$C$7="","",'分类汇总'!$C$7)</f>
        <v>销售和服务收入</v>
      </c>
      <c r="C30" s="80">
        <f>IF($B30="","",SUMIFS('明细'!$D$6:$D$72,'明细'!$M$6:$M$72,C$28,'明细'!$E$6:$E$72,$B30))</f>
        <v>18000.0</v>
      </c>
      <c r="D30" s="80">
        <f>IF($B30="","",SUMIFS('明细'!$D$6:$D$72,'明细'!$M$6:$M$72,D$28,'明细'!$E$6:$E$72,$B30))</f>
        <v>17600.0</v>
      </c>
      <c r="E30" s="80">
        <f>IF($B30="","",SUMIFS('明细'!$D$6:$D$72,'明细'!$M$6:$M$72,E$28,'明细'!$E$6:$E$72,$B30))</f>
        <v>15200.0</v>
      </c>
    </row>
    <row r="31" spans="2:5">
      <c r="B31" s="41" t="str">
        <f>IF('分类汇总'!$C$8="","",'分类汇总'!$C$8)</f>
        <v>利息收入</v>
      </c>
      <c r="C31" s="80">
        <f>IF($B31="","",SUMIFS('明细'!$D$6:$D$72,'明细'!$M$6:$M$72,C$28,'明细'!$E$6:$E$72,$B31))</f>
        <v>0.0</v>
      </c>
      <c r="D31" s="80">
        <f>IF($B31="","",SUMIFS('明细'!$D$6:$D$72,'明细'!$M$6:$M$72,D$28,'明细'!$E$6:$E$72,$B31))</f>
        <v>0.0</v>
      </c>
      <c r="E31" s="80">
        <f>IF($B31="","",SUMIFS('明细'!$D$6:$D$72,'明细'!$M$6:$M$72,E$28,'明细'!$E$6:$E$72,$B31))</f>
        <v>12.5</v>
      </c>
    </row>
    <row r="32" spans="2:5">
      <c r="B32" s="41" t="str">
        <f>IF('分类汇总'!$C$9="","",'分类汇总'!$C$9)</f>
        <v>其他收入</v>
      </c>
      <c r="C32" s="80">
        <f>IF($B32="","",SUMIFS('明细'!$D$6:$D$72,'明细'!$M$6:$M$72,C$28,'明细'!$E$6:$E$72,$B32))</f>
        <v>0.0</v>
      </c>
      <c r="D32" s="80">
        <f>IF($B32="","",SUMIFS('明细'!$D$6:$D$72,'明细'!$M$6:$M$72,D$28,'明细'!$E$6:$E$72,$B32))</f>
        <v>0.0</v>
      </c>
      <c r="E32" s="80">
        <f>IF($B32="","",SUMIFS('明细'!$D$6:$D$72,'明细'!$M$6:$M$72,E$28,'明细'!$E$6:$E$72,$B32))</f>
        <v>0.0</v>
      </c>
    </row>
    <row r="33" spans="2:5">
      <c r="B33" s="41" t="str">
        <f>IF('分类汇总'!$C$10="","",'分类汇总'!$C$10)</f>
        <v>进货和材料</v>
      </c>
      <c r="C33" s="80">
        <f>IF($B33="","",SUMIFS('明细'!$D$6:$D$72,'明细'!$M$6:$M$72,C$28,'明细'!$E$6:$E$72,$B33))</f>
        <v>-2380.0</v>
      </c>
      <c r="D33" s="80">
        <f>IF($B33="","",SUMIFS('明细'!$D$6:$D$72,'明细'!$M$6:$M$72,D$28,'明细'!$E$6:$E$72,$B33))</f>
        <v>-2660.0</v>
      </c>
      <c r="E33" s="80">
        <f>IF($B33="","",SUMIFS('明细'!$D$6:$D$72,'明细'!$M$6:$M$72,E$28,'明细'!$E$6:$E$72,$B33))</f>
        <v>0.0</v>
      </c>
    </row>
    <row r="34" spans="2:5">
      <c r="B34" s="41" t="str">
        <f>IF('分类汇总'!$C$11="","",'分类汇总'!$C$11)</f>
        <v>工资和外包</v>
      </c>
      <c r="C34" s="80">
        <f>IF($B34="","",SUMIFS('明细'!$D$6:$D$72,'明细'!$M$6:$M$72,C$28,'明细'!$E$6:$E$72,$B34))</f>
        <v>0.0</v>
      </c>
      <c r="D34" s="80">
        <f>IF($B34="","",SUMIFS('明细'!$D$6:$D$72,'明细'!$M$6:$M$72,D$28,'明细'!$E$6:$E$72,$B34))</f>
        <v>0.0</v>
      </c>
      <c r="E34" s="80">
        <f>IF($B34="","",SUMIFS('明细'!$D$6:$D$72,'明细'!$M$6:$M$72,E$28,'明细'!$E$6:$E$72,$B34))</f>
        <v>0.0</v>
      </c>
    </row>
    <row r="35" spans="2:5">
      <c r="B35" s="41" t="str">
        <f>IF('分类汇总'!$C$12="","",'分类汇总'!$C$12)</f>
        <v>房租</v>
      </c>
      <c r="C35" s="80">
        <f>IF($B35="","",SUMIFS('明细'!$D$6:$D$72,'明细'!$M$6:$M$72,C$28,'明细'!$E$6:$E$72,$B35))</f>
        <v>-6500.0</v>
      </c>
      <c r="D35" s="80">
        <f>IF($B35="","",SUMIFS('明细'!$D$6:$D$72,'明细'!$M$6:$M$72,D$28,'明细'!$E$6:$E$72,$B35))</f>
        <v>-6500.0</v>
      </c>
      <c r="E35" s="80">
        <f>IF($B35="","",SUMIFS('明细'!$D$6:$D$72,'明细'!$M$6:$M$72,E$28,'明细'!$E$6:$E$72,$B35))</f>
        <v>-6500.0</v>
      </c>
    </row>
    <row r="36" spans="2:5">
      <c r="B36" s="41" t="str">
        <f>IF('分类汇总'!$C$13="","",'分类汇总'!$C$13)</f>
        <v>水电燃气</v>
      </c>
      <c r="C36" s="80">
        <f>IF($B36="","",SUMIFS('明细'!$D$6:$D$72,'明细'!$M$6:$M$72,C$28,'明细'!$E$6:$E$72,$B36))</f>
        <v>0.0</v>
      </c>
      <c r="D36" s="80">
        <f>IF($B36="","",SUMIFS('明细'!$D$6:$D$72,'明细'!$M$6:$M$72,D$28,'明细'!$E$6:$E$72,$B36))</f>
        <v>0.0</v>
      </c>
      <c r="E36" s="80">
        <f>IF($B36="","",SUMIFS('明细'!$D$6:$D$72,'明细'!$M$6:$M$72,E$28,'明细'!$E$6:$E$72,$B36))</f>
        <v>0.0</v>
      </c>
    </row>
    <row r="37" spans="2:5">
      <c r="B37" s="41" t="str">
        <f>IF('分类汇总'!$C$14="","",'分类汇总'!$C$14)</f>
        <v>通讯和网络</v>
      </c>
      <c r="C37" s="80">
        <f>IF($B37="","",SUMIFS('明细'!$D$6:$D$72,'明细'!$M$6:$M$72,C$28,'明细'!$E$6:$E$72,$B37))</f>
        <v>-129.0</v>
      </c>
      <c r="D37" s="80">
        <f>IF($B37="","",SUMIFS('明细'!$D$6:$D$72,'明细'!$M$6:$M$72,D$28,'明细'!$E$6:$E$72,$B37))</f>
        <v>-129.0</v>
      </c>
      <c r="E37" s="80">
        <f>IF($B37="","",SUMIFS('明细'!$D$6:$D$72,'明细'!$M$6:$M$72,E$28,'明细'!$E$6:$E$72,$B37))</f>
        <v>-129.0</v>
      </c>
    </row>
    <row r="38" spans="2:5">
      <c r="B38" s="41" t="str">
        <f>IF('分类汇总'!$C$15="","",'分类汇总'!$C$15)</f>
        <v>软件和订阅</v>
      </c>
      <c r="C38" s="80">
        <f>IF($B38="","",SUMIFS('明细'!$D$6:$D$72,'明细'!$M$6:$M$72,C$28,'明细'!$E$6:$E$72,$B38))</f>
        <v>-680.0</v>
      </c>
      <c r="D38" s="80">
        <f>IF($B38="","",SUMIFS('明细'!$D$6:$D$72,'明细'!$M$6:$M$72,D$28,'明细'!$E$6:$E$72,$B38))</f>
        <v>0.0</v>
      </c>
      <c r="E38" s="80">
        <f>IF($B38="","",SUMIFS('明细'!$D$6:$D$72,'明细'!$M$6:$M$72,E$28,'明细'!$E$6:$E$72,$B38))</f>
        <v>0.0</v>
      </c>
    </row>
    <row r="39" spans="2:5">
      <c r="B39" s="41" t="str">
        <f>IF('分类汇总'!$C$16="","",'分类汇总'!$C$16)</f>
        <v>广告推广</v>
      </c>
      <c r="C39" s="80">
        <f>IF($B39="","",SUMIFS('明细'!$D$6:$D$72,'明细'!$M$6:$M$72,C$28,'明细'!$E$6:$E$72,$B39))</f>
        <v>0.0</v>
      </c>
      <c r="D39" s="80">
        <f>IF($B39="","",SUMIFS('明细'!$D$6:$D$72,'明细'!$M$6:$M$72,D$28,'明细'!$E$6:$E$72,$B39))</f>
        <v>0.0</v>
      </c>
      <c r="E39" s="80">
        <f>IF($B39="","",SUMIFS('明细'!$D$6:$D$72,'明细'!$M$6:$M$72,E$28,'明细'!$E$6:$E$72,$B39))</f>
        <v>0.0</v>
      </c>
    </row>
    <row r="40" spans="2:5">
      <c r="B40" s="41" t="str">
        <f>IF('分类汇总'!$C$17="","",'分类汇总'!$C$17)</f>
        <v>交通差旅</v>
      </c>
      <c r="C40" s="80">
        <f>IF($B40="","",SUMIFS('明细'!$D$6:$D$72,'明细'!$M$6:$M$72,C$28,'明细'!$E$6:$E$72,$B40))</f>
        <v>0.0</v>
      </c>
      <c r="D40" s="80">
        <f>IF($B40="","",SUMIFS('明细'!$D$6:$D$72,'明细'!$M$6:$M$72,D$28,'明细'!$E$6:$E$72,$B40))</f>
        <v>0.0</v>
      </c>
      <c r="E40" s="80">
        <f>IF($B40="","",SUMIFS('明细'!$D$6:$D$72,'明细'!$M$6:$M$72,E$28,'明细'!$E$6:$E$72,$B40))</f>
        <v>0.0</v>
      </c>
    </row>
    <row r="41" spans="2:5">
      <c r="B41" s="41" t="str">
        <f>IF('分类汇总'!$C$18="","",'分类汇总'!$C$18)</f>
        <v>办公用品</v>
      </c>
      <c r="C41" s="80">
        <f>IF($B41="","",SUMIFS('明细'!$D$6:$D$72,'明细'!$M$6:$M$72,C$28,'明细'!$E$6:$E$72,$B41))</f>
        <v>0.0</v>
      </c>
      <c r="D41" s="80">
        <f>IF($B41="","",SUMIFS('明细'!$D$6:$D$72,'明细'!$M$6:$M$72,D$28,'明细'!$E$6:$E$72,$B41))</f>
        <v>-28.0</v>
      </c>
      <c r="E41" s="80">
        <f>IF($B41="","",SUMIFS('明细'!$D$6:$D$72,'明细'!$M$6:$M$72,E$28,'明细'!$E$6:$E$72,$B41))</f>
        <v>0.0</v>
      </c>
    </row>
    <row r="42" spans="2:5">
      <c r="B42" s="41" t="str">
        <f>IF('分类汇总'!$C$19="","",'分类汇总'!$C$19)</f>
        <v>保险</v>
      </c>
      <c r="C42" s="80">
        <f>IF($B42="","",SUMIFS('明细'!$D$6:$D$72,'明细'!$M$6:$M$72,C$28,'明细'!$E$6:$E$72,$B42))</f>
        <v>-980.0</v>
      </c>
      <c r="D42" s="80">
        <f>IF($B42="","",SUMIFS('明细'!$D$6:$D$72,'明细'!$M$6:$M$72,D$28,'明细'!$E$6:$E$72,$B42))</f>
        <v>0.0</v>
      </c>
      <c r="E42" s="80">
        <f>IF($B42="","",SUMIFS('明细'!$D$6:$D$72,'明细'!$M$6:$M$72,E$28,'明细'!$E$6:$E$72,$B42))</f>
        <v>0.0</v>
      </c>
    </row>
    <row r="43" spans="2:5">
      <c r="B43" s="41" t="str">
        <f>IF('分类汇总'!$C$20="","",'分类汇总'!$C$20)</f>
        <v>银行和平台手续费</v>
      </c>
      <c r="C43" s="80">
        <f>IF($B43="","",SUMIFS('明细'!$D$6:$D$72,'明细'!$M$6:$M$72,C$28,'明细'!$E$6:$E$72,$B43))</f>
        <v>-12.0</v>
      </c>
      <c r="D43" s="80">
        <f>IF($B43="","",SUMIFS('明细'!$D$6:$D$72,'明细'!$M$6:$M$72,D$28,'明细'!$E$6:$E$72,$B43))</f>
        <v>-12.0</v>
      </c>
      <c r="E43" s="80">
        <f>IF($B43="","",SUMIFS('明细'!$D$6:$D$72,'明细'!$M$6:$M$72,E$28,'明细'!$E$6:$E$72,$B43))</f>
        <v>0.0</v>
      </c>
    </row>
    <row r="44" spans="2:5">
      <c r="B44" s="41" t="str">
        <f>IF('分类汇总'!$C$21="","",'分类汇总'!$C$21)</f>
        <v>会计和法律</v>
      </c>
      <c r="C44" s="80">
        <f>IF($B44="","",SUMIFS('明细'!$D$6:$D$72,'明细'!$M$6:$M$72,C$28,'明细'!$E$6:$E$72,$B44))</f>
        <v>0.0</v>
      </c>
      <c r="D44" s="80">
        <f>IF($B44="","",SUMIFS('明细'!$D$6:$D$72,'明细'!$M$6:$M$72,D$28,'明细'!$E$6:$E$72,$B44))</f>
        <v>-600.0</v>
      </c>
      <c r="E44" s="80">
        <f>IF($B44="","",SUMIFS('明细'!$D$6:$D$72,'明细'!$M$6:$M$72,E$28,'明细'!$E$6:$E$72,$B44))</f>
        <v>0.0</v>
      </c>
    </row>
    <row r="45" spans="2:5">
      <c r="B45" s="41" t="str">
        <f>IF('分类汇总'!$C$22="","",'分类汇总'!$C$22)</f>
        <v>其他支出</v>
      </c>
      <c r="C45" s="80">
        <f>IF($B45="","",SUMIFS('明细'!$D$6:$D$72,'明细'!$M$6:$M$72,C$28,'明细'!$E$6:$E$72,$B45))</f>
        <v>0.0</v>
      </c>
      <c r="D45" s="80">
        <f>IF($B45="","",SUMIFS('明细'!$D$6:$D$72,'明细'!$M$6:$M$72,D$28,'明细'!$E$6:$E$72,$B45))</f>
        <v>0.0</v>
      </c>
      <c r="E45" s="80">
        <f>IF($B45="","",SUMIFS('明细'!$D$6:$D$72,'明细'!$M$6:$M$72,E$28,'明细'!$E$6:$E$72,$B45))</f>
        <v>0.0</v>
      </c>
    </row>
    <row r="46" spans="2:5">
      <c r="B46" s="41" t="str">
        <f>IF('分类汇总'!$C$23="","",'分类汇总'!$C$23)</f>
        <v>税费和政府缴费</v>
      </c>
      <c r="C46" s="80">
        <f>IF($B46="","",SUMIFS('明细'!$D$6:$D$72,'明细'!$M$6:$M$72,C$28,'明细'!$E$6:$E$72,$B46))</f>
        <v>0.0</v>
      </c>
      <c r="D46" s="80">
        <f>IF($B46="","",SUMIFS('明细'!$D$6:$D$72,'明细'!$M$6:$M$72,D$28,'明细'!$E$6:$E$72,$B46))</f>
        <v>-4200.0</v>
      </c>
      <c r="E46" s="80">
        <f>IF($B46="","",SUMIFS('明细'!$D$6:$D$72,'明细'!$M$6:$M$72,E$28,'明细'!$E$6:$E$72,$B46))</f>
        <v>0.0</v>
      </c>
    </row>
    <row r="47" spans="2:5">
      <c r="B47" s="41" t="str">
        <f>IF('分类汇总'!$C$24="","",'分类汇总'!$C$24)</f>
        <v>私人开支</v>
      </c>
      <c r="C47" s="80">
        <f>IF($B47="","",SUMIFS('明细'!$D$6:$D$72,'明细'!$M$6:$M$72,C$28,'明细'!$E$6:$E$72,$B47))</f>
        <v>-686.4</v>
      </c>
      <c r="D47" s="80">
        <f>IF($B47="","",SUMIFS('明细'!$D$6:$D$72,'明细'!$M$6:$M$72,D$28,'明细'!$E$6:$E$72,$B47))</f>
        <v>0.0</v>
      </c>
      <c r="E47" s="80">
        <f>IF($B47="","",SUMIFS('明细'!$D$6:$D$72,'明细'!$M$6:$M$72,E$28,'明细'!$E$6:$E$72,$B47))</f>
        <v>0.0</v>
      </c>
    </row>
    <row r="48" spans="2:5">
      <c r="B48" s="41" t="str">
        <f>IF('分类汇总'!$C$25="","",'分类汇总'!$C$25)</f>
        <v>大额购置</v>
      </c>
      <c r="C48" s="80">
        <f>IF($B48="","",SUMIFS('明细'!$D$6:$D$72,'明细'!$M$6:$M$72,C$28,'明细'!$E$6:$E$72,$B48))</f>
        <v>0.0</v>
      </c>
      <c r="D48" s="80">
        <f>IF($B48="","",SUMIFS('明细'!$D$6:$D$72,'明细'!$M$6:$M$72,D$28,'明细'!$E$6:$E$72,$B48))</f>
        <v>-18600.0</v>
      </c>
      <c r="E48" s="80">
        <f>IF($B48="","",SUMIFS('明细'!$D$6:$D$72,'明细'!$M$6:$M$72,E$28,'明细'!$E$6:$E$72,$B48))</f>
        <v>0.0</v>
      </c>
    </row>
    <row r="49" spans="2:5">
      <c r="B49" s="41" t="str">
        <f>IF('分类汇总'!$C$26="","",'分类汇总'!$C$26)</f>
        <v>自己账户之间转账</v>
      </c>
      <c r="C49" s="80">
        <f>IF($B49="","",SUMIFS('明细'!$D$6:$D$72,'明细'!$M$6:$M$72,C$28,'明细'!$E$6:$E$72,$B49))</f>
        <v>-5000.0</v>
      </c>
      <c r="D49" s="80">
        <f>IF($B49="","",SUMIFS('明细'!$D$6:$D$72,'明细'!$M$6:$M$72,D$28,'明细'!$E$6:$E$72,$B49))</f>
        <v>0.0</v>
      </c>
      <c r="E49" s="80">
        <f>IF($B49="","",SUMIFS('明细'!$D$6:$D$72,'明细'!$M$6:$M$72,E$28,'明细'!$E$6:$E$72,$B49))</f>
        <v>-4000.0</v>
      </c>
    </row>
    <row r="50" spans="2:5">
      <c r="B50" s="41" t="str">
        <f>IF('分类汇总'!$C$27="","",'分类汇总'!$C$27)</f>
        <v>借贷款项</v>
      </c>
      <c r="C50" s="80">
        <f>IF($B50="","",SUMIFS('明细'!$D$6:$D$72,'明细'!$M$6:$M$72,C$28,'明细'!$E$6:$E$72,$B50))</f>
        <v>0.0</v>
      </c>
      <c r="D50" s="80">
        <f>IF($B50="","",SUMIFS('明细'!$D$6:$D$72,'明细'!$M$6:$M$72,D$28,'明细'!$E$6:$E$72,$B50))</f>
        <v>0.0</v>
      </c>
      <c r="E50" s="80">
        <f>IF($B50="","",SUMIFS('明细'!$D$6:$D$72,'明细'!$M$6:$M$72,E$28,'明细'!$E$6:$E$72,$B50))</f>
        <v>0.0</v>
      </c>
    </row>
    <row r="51" spans="2:5">
      <c r="B51" s="41" t="str">
        <f>IF('分类汇总'!$C$28="","",'分类汇总'!$C$28)</f>
        <v>不计入（重复或没成交）</v>
      </c>
      <c r="C51" s="80">
        <f>IF($B51="","",SUMIFS('明细'!$D$6:$D$72,'明细'!$M$6:$M$72,C$28,'明细'!$E$6:$E$72,$B51))</f>
        <v>0.0</v>
      </c>
      <c r="D51" s="80">
        <f>IF($B51="","",SUMIFS('明细'!$D$6:$D$72,'明细'!$M$6:$M$72,D$28,'明细'!$E$6:$E$72,$B51))</f>
        <v>0.0</v>
      </c>
      <c r="E51" s="80">
        <f>IF($B51="","",SUMIFS('明细'!$D$6:$D$72,'明细'!$M$6:$M$72,E$28,'明细'!$E$6:$E$72,$B51))</f>
        <v>0.0</v>
      </c>
    </row>
    <row r="52" spans="2:5">
      <c r="B52" s="41" t="str">
        <f>IF('分类汇总'!$C$29="","",'分类汇总'!$C$29)</f>
        <v/>
      </c>
      <c r="C52" s="80" t="str">
        <f>IF($B52="","",SUMIFS('明细'!$D$6:$D$72,'明细'!$M$6:$M$72,C$28,'明细'!$E$6:$E$72,$B52))</f>
        <v/>
      </c>
      <c r="D52" s="80" t="str">
        <f>IF($B52="","",SUMIFS('明细'!$D$6:$D$72,'明细'!$M$6:$M$72,D$28,'明细'!$E$6:$E$72,$B52))</f>
        <v/>
      </c>
      <c r="E52" s="80" t="str">
        <f>IF($B52="","",SUMIFS('明细'!$D$6:$D$72,'明细'!$M$6:$M$72,E$28,'明细'!$E$6:$E$72,$B52))</f>
        <v/>
      </c>
    </row>
    <row r="53" spans="2:5">
      <c r="B53" s="41" t="str">
        <f>IF('分类汇总'!$C$30="","",'分类汇总'!$C$30)</f>
        <v/>
      </c>
      <c r="C53" s="80" t="str">
        <f>IF($B53="","",SUMIFS('明细'!$D$6:$D$72,'明细'!$M$6:$M$72,C$28,'明细'!$E$6:$E$72,$B53))</f>
        <v/>
      </c>
      <c r="D53" s="80" t="str">
        <f>IF($B53="","",SUMIFS('明细'!$D$6:$D$72,'明细'!$M$6:$M$72,D$28,'明细'!$E$6:$E$72,$B53))</f>
        <v/>
      </c>
      <c r="E53" s="80" t="str">
        <f>IF($B53="","",SUMIFS('明细'!$D$6:$D$72,'明细'!$M$6:$M$72,E$28,'明细'!$E$6:$E$72,$B53))</f>
        <v/>
      </c>
    </row>
    <row r="54" spans="2:5">
      <c r="B54" s="41" t="str">
        <f>IF('分类汇总'!$C$31="","",'分类汇总'!$C$31)</f>
        <v/>
      </c>
      <c r="C54" s="80" t="str">
        <f>IF($B54="","",SUMIFS('明细'!$D$6:$D$72,'明细'!$M$6:$M$72,C$28,'明细'!$E$6:$E$72,$B54))</f>
        <v/>
      </c>
      <c r="D54" s="80" t="str">
        <f>IF($B54="","",SUMIFS('明细'!$D$6:$D$72,'明细'!$M$6:$M$72,D$28,'明细'!$E$6:$E$72,$B54))</f>
        <v/>
      </c>
      <c r="E54" s="80" t="str">
        <f>IF($B54="","",SUMIFS('明细'!$D$6:$D$72,'明细'!$M$6:$M$72,E$28,'明细'!$E$6:$E$72,$B54))</f>
        <v/>
      </c>
    </row>
  </sheetData>
  <conditionalFormatting sqref="J6:J8">
    <cfRule type="cellIs" dxfId="9" priority="1" operator="greaterThan">
      <formula>0</formula>
    </cfRule>
  </conditionalFormatting>
  <pageMargins left="0.4" right="0.4" top="0.45" bottom="0.45" header="0.3" footer="0.3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21F30"/>
    <pageSetUpPr fitToPage="1"/>
  </sheetPr>
  <dimension ref="A2:AE31"/>
  <sheetViews>
    <sheetView showGridLines="0" workbookViewId="0"/>
  </sheetViews>
  <sheetFormatPr defaultRowHeight="15"/>
  <cols>
    <col min="1" max="1" width="3.28515625" style="1" customWidth="1"/>
    <col min="2" max="2" width="66.7109375" style="1" customWidth="1"/>
    <col min="3" max="5" width="16.7109375" style="1" customWidth="1"/>
    <col min="6" max="6" width="24.7109375" style="1" customWidth="1"/>
    <col min="7" max="7" width="3.28515625" style="1" customWidth="1"/>
    <col min="8" max="31" width="9.7109375" style="1" customWidth="1"/>
  </cols>
  <sheetData>
    <row r="2" spans="2:8" s="1" customFormat="1" ht="27.75" customHeight="1">
      <c r="B2" s="37" t="s">
        <v>124</v>
      </c>
      <c r="H2" s="2">
        <f>COUNTIF('核对'!$F$6:$F$16,"对不上")</f>
        <v>0.0</v>
      </c>
    </row>
    <row r="3" spans="2:8">
      <c r="B3" s="4" t="s">
        <v>125</v>
      </c>
      <c r="H3" s="2">
        <f>COUNTIF('核对'!$F$6:$F$16,"没法核对")</f>
        <v>0.0</v>
      </c>
    </row>
    <row r="4" spans="2:8">
      <c r="B4" s="5" t="s">
        <v>2</v>
      </c>
      <c r="H4" s="2" t="str">
        <f>IF(IFERROR(MATCH(1,'明细'!$R$6:$R$72,0),0)=0,"",INDEX('明细'!$K$6:$K$72,IFERROR(MATCH(1,'明细'!$R$6:$R$72,0),0)))</f>
        <v/>
      </c>
    </row>
    <row r="5" spans="2:8">
      <c r="B5" s="21" t="s">
        <v>126</v>
      </c>
      <c r="C5" s="22" t="s">
        <v>127</v>
      </c>
      <c r="D5" s="22" t="s">
        <v>128</v>
      </c>
      <c r="E5" s="22" t="s">
        <v>117</v>
      </c>
      <c r="F5" s="21" t="s">
        <v>129</v>
      </c>
      <c r="H5" s="2" t="str">
        <f>IF(IFERROR(MATCH(1,'明细'!$R$6:$R$72,0),0)=0,"",INDEX('明细'!$A$6:$A$72,IFERROR(MATCH(1,'明细'!$R$6:$R$72,0),0)))</f>
        <v/>
      </c>
    </row>
    <row r="6" spans="2:8">
      <c r="B6" s="41" t="s">
        <v>130</v>
      </c>
      <c r="C6" s="76">
        <v>0</v>
      </c>
      <c r="D6" s="76">
        <f>MAX(0,0-COUNT('明细'!$D$43:$D$72))</f>
        <v>0.0</v>
      </c>
      <c r="E6" s="76">
        <f>D6-C6</f>
        <v>0.0</v>
      </c>
      <c r="F6" s="10" t="str">
        <f>IF(D6=0,"对得上","对不上")</f>
        <v>对得上</v>
      </c>
      <c r="H6" s="2">
        <f>SUM('明细'!$V$6:$V$72)</f>
        <v>0.0</v>
      </c>
    </row>
    <row r="7" spans="2:8">
      <c r="B7" s="41" t="s">
        <v>131</v>
      </c>
      <c r="C7" s="42">
        <f>'分类汇总'!$G$33</f>
        <v>-11497.6</v>
      </c>
      <c r="D7" s="42">
        <f>'分类汇总'!$G$32</f>
        <v>-11497.599999999997</v>
      </c>
      <c r="E7" s="42">
        <f>ROUND(D7-C7,2)</f>
        <v>0.0</v>
      </c>
      <c r="F7" s="10" t="str">
        <f>IF(E7=0,"对得上","对不上")</f>
        <v>对得上</v>
      </c>
      <c r="H7" s="2">
        <f>SUM('明细'!$W$6:$W$72)</f>
        <v>0.0</v>
      </c>
    </row>
    <row r="8" spans="2:8">
      <c r="B8" s="41" t="s">
        <v>132</v>
      </c>
      <c r="C8" s="42">
        <v>23560.4</v>
      </c>
      <c r="D8" s="41"/>
      <c r="E8" s="41"/>
      <c r="F8" s="41"/>
      <c r="H8" s="2">
        <f>SUM('明细'!$X$6:$X$72)</f>
        <v>0.0</v>
      </c>
    </row>
    <row r="9" spans="2:8">
      <c r="B9" s="41" t="s">
        <v>133</v>
      </c>
      <c r="C9" s="42">
        <v>12062.8</v>
      </c>
      <c r="D9" s="41"/>
      <c r="E9" s="41"/>
      <c r="F9" s="41"/>
      <c r="H9" s="2">
        <f>COUNT('明细'!$D$43:$D$72)</f>
        <v>0.0</v>
      </c>
    </row>
    <row r="10" spans="2:8">
      <c r="B10" s="41" t="s">
        <v>134</v>
      </c>
      <c r="C10" s="42">
        <f>IF(C9="","",C9)</f>
        <v>12062.8</v>
      </c>
      <c r="D10" s="42">
        <f>IF(C8="","",C8+'分类汇总'!$G$33)</f>
        <v>12062.800000000001</v>
      </c>
      <c r="E10" s="42">
        <f>IF(OR(C8="",C9=""),"",ROUND(D10-C10,2))</f>
        <v>0.0</v>
      </c>
      <c r="F10" s="10" t="str">
        <f>IF(OR(C8="",C9=""),"没法核对",IF(E10=0,"对得上","对不上"))</f>
        <v>对得上</v>
      </c>
      <c r="H10" s="2">
        <f>IF(C8="",IF('读到的原样'!$E$1="",0,1),IF('读到的原样'!$E$1="",1,IF(ABS(C8-'读到的原样'!$E$1)&gt;0.005,1,0)))</f>
        <v>0.0</v>
      </c>
    </row>
    <row r="11" spans="2:8">
      <c r="B11" s="41" t="s">
        <v>135</v>
      </c>
      <c r="C11" s="76">
        <v>0</v>
      </c>
      <c r="D11" s="76">
        <f>SUM('明细'!$R$6:$R$72)</f>
        <v>0.0</v>
      </c>
      <c r="E11" s="76">
        <f>D11-C11</f>
        <v>0.0</v>
      </c>
      <c r="F11" s="10" t="str">
        <f>IF(D11=0,"对得上",IF(AND(COUNT('明细'!$D$43:$D$72)&gt;0,F10="对得上"),"加上你补的行后对得上","对不上"))</f>
        <v>对得上</v>
      </c>
      <c r="H11" s="2">
        <f>IF(C9="",IF('读到的原样'!$E$2="",0,1),IF('读到的原样'!$E$2="",1,IF(ABS(C9-'读到的原样'!$E$2)&gt;0.005,1,0)))</f>
        <v>0.0</v>
      </c>
    </row>
    <row r="12" spans="2:8">
      <c r="B12" s="45" t="s">
        <v>136</v>
      </c>
      <c r="C12" s="42" t="str">
        <f>IF(IFERROR(MATCH(1,'明细'!$R$6:$R$72,0),0)=0,"",INDEX('明细'!$T$6:$T$72,IFERROR(MATCH(1,'明细'!$R$6:$R$72,0),0)))</f>
        <v/>
      </c>
      <c r="D12" s="42" t="str">
        <f>IF(IFERROR(MATCH(1,'明细'!$R$6:$R$72,0),0)=0,"",INDEX('明细'!$J$6:$J$72,IFERROR(MATCH(1,'明细'!$R$6:$R$72,0),0)))</f>
        <v/>
      </c>
      <c r="E12" s="42" t="str">
        <f>IF(C12="","",ROUND(D12-C12,2))</f>
        <v/>
      </c>
      <c r="F12" s="82" t="str">
        <f>$H$5</f>
        <v/>
      </c>
      <c r="H12" s="2">
        <f>SUM('明细'!$Y$6:$Y$72)</f>
        <v>0.0</v>
      </c>
    </row>
    <row r="13" spans="2:8">
      <c r="B13" s="41" t="s">
        <v>137</v>
      </c>
      <c r="C13" s="76">
        <v>0</v>
      </c>
      <c r="D13" s="76">
        <v>0</v>
      </c>
      <c r="E13" s="76">
        <f>D13-C13</f>
        <v>0.0</v>
      </c>
      <c r="F13" s="10" t="str">
        <f>IF(D13=0,"对得上","对不上")</f>
        <v>对得上</v>
      </c>
      <c r="H13" s="2">
        <f>SUM(H6:H12)</f>
        <v>0.0</v>
      </c>
    </row>
    <row r="14" spans="2:8">
      <c r="B14" s="41" t="s">
        <v>138</v>
      </c>
      <c r="C14" s="42">
        <f>'分类汇总'!$G$33</f>
        <v>-11497.6</v>
      </c>
      <c r="D14" s="42">
        <f>'月度汇总'!$K$9</f>
        <v>-11497.6</v>
      </c>
      <c r="E14" s="42">
        <f>ROUND(D14-C14,2)</f>
        <v>0.0</v>
      </c>
      <c r="F14" s="10" t="str">
        <f>IF(E14=0,"对得上","对不上")</f>
        <v>对得上</v>
      </c>
      <c r="H14" s="2" t="str">
        <f>IF(H6&gt;0,H6&amp;" 个金额或日期改过; ","")&amp;IF(H7&gt;0,H7&amp;" 个余额改过; ","")&amp;IF(H8&gt;0,H8&amp;" 行选了不计入; ","")&amp;IF(H9&gt;0,H9&amp;" 行是后加的; ","")&amp;IF(H10&gt;0,H10&amp;" 个期初余额改过; ","")&amp;IF(H11&gt;0,H11&amp;" 个期末余额改过; ","")&amp;IF(H12&gt;0,H12&amp;" 行有借款用词但没放在借贷款项; ","")</f>
        <v/>
      </c>
    </row>
    <row r="15" spans="2:8">
      <c r="B15" s="41" t="s">
        <v>139</v>
      </c>
      <c r="C15" s="76">
        <v>0</v>
      </c>
      <c r="D15" s="76">
        <f>COUNTIF('明细'!$N$6:$N$72,"none")</f>
        <v>0.0</v>
      </c>
      <c r="E15" s="76">
        <f>D15-C15</f>
        <v>0.0</v>
      </c>
      <c r="F15" s="10" t="str">
        <f>IF(D15=0,"对得上","对不上")</f>
        <v>对得上</v>
      </c>
    </row>
    <row r="16" spans="2:8">
      <c r="B16" s="41" t="s">
        <v>140</v>
      </c>
      <c r="C16" s="41"/>
      <c r="D16" s="41"/>
      <c r="E16" s="41"/>
      <c r="F16" s="10" t="s">
        <v>141</v>
      </c>
    </row>
    <row r="17" spans="2:6">
      <c r="B17" s="41" t="s">
        <v>142</v>
      </c>
      <c r="C17" s="41"/>
      <c r="D17" s="41"/>
      <c r="E17" s="41"/>
      <c r="F17" s="83" t="str">
        <f>IF($H$13=0,"",$H$14)</f>
        <v/>
      </c>
    </row>
    <row r="18" spans="2:6">
      <c r="B18" s="41" t="s">
        <v>143</v>
      </c>
      <c r="C18" s="41"/>
      <c r="D18" s="76">
        <f>COUNTIF('明细'!$L$6:$L$72,"可能重复")</f>
        <v>2.0</v>
      </c>
      <c r="E18" s="41"/>
      <c r="F18" s="41"/>
    </row>
    <row r="19" spans="2:6" s="1" customFormat="1" ht="32.25" customHeight="1">
      <c r="B19" s="7" t="s">
        <v>144</v>
      </c>
      <c r="C19" s="7"/>
      <c r="D19" s="7"/>
      <c r="E19" s="7"/>
      <c r="F19" s="7"/>
    </row>
    <row r="21" spans="2:6">
      <c r="B21" s="74" t="s">
        <v>145</v>
      </c>
    </row>
    <row r="22" spans="2:6">
      <c r="B22" s="10" t="s">
        <v>146</v>
      </c>
      <c r="C22" s="84">
        <v>51</v>
      </c>
    </row>
    <row r="23" spans="2:6">
      <c r="B23" s="85" t="s">
        <v>147</v>
      </c>
      <c r="C23" s="86">
        <v>37</v>
      </c>
    </row>
    <row r="24" spans="2:6">
      <c r="B24" s="85" t="s">
        <v>148</v>
      </c>
      <c r="C24" s="86">
        <v>0</v>
      </c>
    </row>
    <row r="25" spans="2:6">
      <c r="B25" s="85" t="s">
        <v>149</v>
      </c>
      <c r="C25" s="86">
        <v>5</v>
      </c>
    </row>
    <row r="26" spans="2:6">
      <c r="B26" s="85" t="s">
        <v>150</v>
      </c>
      <c r="C26" s="86">
        <v>2</v>
      </c>
    </row>
    <row r="27" spans="2:6">
      <c r="B27" s="85" t="s">
        <v>151</v>
      </c>
      <c r="C27" s="86">
        <v>7</v>
      </c>
    </row>
    <row r="28" spans="2:6">
      <c r="B28" s="85" t="s">
        <v>152</v>
      </c>
      <c r="C28" s="86">
        <v>0</v>
      </c>
    </row>
    <row r="30" spans="2:6">
      <c r="B30" s="7" t="s">
        <v>153</v>
      </c>
      <c r="C30" s="7"/>
      <c r="D30" s="7"/>
      <c r="E30" s="7"/>
      <c r="F30" s="7"/>
    </row>
    <row r="31" spans="2:6">
      <c r="B31" s="7"/>
      <c r="C31" s="7"/>
      <c r="D31" s="7"/>
      <c r="E31" s="7"/>
      <c r="F31" s="7"/>
    </row>
  </sheetData>
  <sheetProtection sheet="1" objects="1" scenarios="1" formatColumns="0" formatRows="0"/>
  <mergeCells count="2">
    <mergeCell ref="B19:F19"/>
    <mergeCell ref="B30:F31"/>
  </mergeCells>
  <conditionalFormatting sqref="F6:F16">
    <cfRule type="cellIs" dxfId="10" priority="1" operator="equal">
      <formula>"对不上"</formula>
    </cfRule>
    <cfRule type="cellIs" dxfId="11" priority="2" operator="equal">
      <formula>"没法核对"</formula>
    </cfRule>
  </conditionalFormatting>
  <pageMargins left="0.4" right="0.4" top="0.45" bottom="0.4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FC7B2"/>
    <pageSetUpPr fitToPage="1"/>
  </sheetPr>
  <dimension ref="A2:AE19"/>
  <sheetViews>
    <sheetView showGridLines="0" workbookViewId="0"/>
  </sheetViews>
  <sheetFormatPr defaultRowHeight="15"/>
  <cols>
    <col min="1" max="1" width="3.28515625" style="1" customWidth="1"/>
    <col min="2" max="2" width="110.7109375" style="1" customWidth="1"/>
    <col min="3" max="31" width="9.7109375" style="1" customWidth="1"/>
  </cols>
  <sheetData>
    <row r="2" spans="2:2" s="1" customFormat="1" ht="27.75" customHeight="1">
      <c r="B2" s="37" t="s">
        <v>194</v>
      </c>
    </row>
    <row r="4" spans="2:2" s="1" customFormat="1" ht="23.25" customHeight="1">
      <c r="B4" s="25" t="s">
        <v>195</v>
      </c>
    </row>
    <row r="5" spans="2:2" s="1" customFormat="1" ht="23.25" customHeight="1">
      <c r="B5" s="25" t="s">
        <v>196</v>
      </c>
    </row>
    <row r="6" spans="2:2" s="1" customFormat="1" ht="23.25" customHeight="1">
      <c r="B6" s="25" t="s">
        <v>197</v>
      </c>
    </row>
    <row r="7" spans="2:2" s="1" customFormat="1" ht="23.25" customHeight="1">
      <c r="B7" s="25" t="s">
        <v>198</v>
      </c>
    </row>
    <row r="8" spans="2:2" s="1" customFormat="1" ht="23.25" customHeight="1">
      <c r="B8" s="25" t="s">
        <v>199</v>
      </c>
    </row>
    <row r="9" spans="2:2" s="1" customFormat="1" ht="23.25" customHeight="1">
      <c r="B9" s="25" t="s">
        <v>200</v>
      </c>
    </row>
    <row r="10" spans="2:2" s="1" customFormat="1" ht="23.25" customHeight="1">
      <c r="B10" s="25" t="s">
        <v>201</v>
      </c>
    </row>
    <row r="11" spans="2:2" s="1" customFormat="1" ht="23.25" customHeight="1">
      <c r="B11" s="25" t="s">
        <v>202</v>
      </c>
    </row>
    <row r="12" spans="2:2" s="1" customFormat="1" ht="23.25" customHeight="1">
      <c r="B12" s="25" t="s">
        <v>203</v>
      </c>
    </row>
    <row r="13" spans="2:2" s="1" customFormat="1" ht="23.25" customHeight="1">
      <c r="B13" s="25" t="s">
        <v>204</v>
      </c>
    </row>
    <row r="14" spans="2:2" s="1" customFormat="1" ht="23.25" customHeight="1">
      <c r="B14" s="25" t="s">
        <v>205</v>
      </c>
    </row>
    <row r="15" spans="2:2" s="1" customFormat="1" ht="23.25" customHeight="1">
      <c r="B15" s="25" t="s">
        <v>167</v>
      </c>
    </row>
    <row r="16" spans="2:2" s="1" customFormat="1" ht="23.25" customHeight="1">
      <c r="B16" s="25" t="s">
        <v>206</v>
      </c>
    </row>
    <row r="17" spans="2:2" s="1" customFormat="1" ht="23.25" customHeight="1">
      <c r="B17" s="25" t="s">
        <v>207</v>
      </c>
    </row>
    <row r="19" spans="2:2">
      <c r="B19" s="7" t="s">
        <v>153</v>
      </c>
    </row>
  </sheetData>
  <pageMargins left="0.4" right="0.4" top="0.45" bottom="0.45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CFC7B2"/>
    <pageSetUpPr fitToPage="1"/>
  </sheetPr>
  <dimension ref="A1:AE42"/>
  <sheetViews>
    <sheetView showGridLines="0" workbookViewId="0"/>
  </sheetViews>
  <sheetFormatPr defaultRowHeight="15"/>
  <cols>
    <col min="1" max="31" width="9.7109375" style="1" customWidth="1"/>
  </cols>
  <sheetData>
    <row r="1" spans="1:5">
      <c r="E1" s="1">
        <v>23560.4</v>
      </c>
    </row>
    <row r="2" spans="1:5">
      <c r="E2" s="1">
        <v>12062.8</v>
      </c>
    </row>
    <row r="6" spans="1:5">
      <c r="A6" s="1">
        <v>-6500</v>
      </c>
      <c r="B6" s="87">
        <v>46235</v>
      </c>
      <c r="C6" s="1">
        <v>17060.4</v>
      </c>
    </row>
    <row r="7" spans="1:5">
      <c r="A7" s="1">
        <v>12800</v>
      </c>
      <c r="B7" s="87">
        <v>46237</v>
      </c>
      <c r="C7" s="1">
        <v>29860.4</v>
      </c>
    </row>
    <row r="8" spans="1:5">
      <c r="A8" s="1">
        <v>-2380</v>
      </c>
      <c r="B8" s="87">
        <v>46238</v>
      </c>
      <c r="C8" s="1">
        <v>27480.4</v>
      </c>
    </row>
    <row r="9" spans="1:5">
      <c r="A9" s="1">
        <v>-412.3</v>
      </c>
      <c r="B9" s="87">
        <v>46239</v>
      </c>
      <c r="C9" s="1">
        <v>27068.1</v>
      </c>
    </row>
    <row r="10" spans="1:5">
      <c r="A10" s="1">
        <v>-5000</v>
      </c>
      <c r="B10" s="87">
        <v>46241</v>
      </c>
      <c r="C10" s="1">
        <v>22068.1</v>
      </c>
    </row>
    <row r="11" spans="1:5">
      <c r="A11" s="1">
        <v>-2000</v>
      </c>
      <c r="B11" s="87">
        <v>46243</v>
      </c>
      <c r="C11" s="1">
        <v>20068.1</v>
      </c>
    </row>
    <row r="12" spans="1:5">
      <c r="A12" s="1">
        <v>-686.4</v>
      </c>
      <c r="B12" s="87">
        <v>46245</v>
      </c>
      <c r="C12" s="1">
        <v>19381.7</v>
      </c>
    </row>
    <row r="13" spans="1:5">
      <c r="A13" s="1">
        <v>-12</v>
      </c>
      <c r="B13" s="87">
        <v>46246</v>
      </c>
      <c r="C13" s="1">
        <v>19369.7</v>
      </c>
    </row>
    <row r="14" spans="1:5">
      <c r="A14" s="1">
        <v>-129</v>
      </c>
      <c r="B14" s="87">
        <v>46248</v>
      </c>
      <c r="C14" s="1">
        <v>19240.7</v>
      </c>
    </row>
    <row r="15" spans="1:5">
      <c r="A15" s="1">
        <v>8600</v>
      </c>
      <c r="B15" s="87">
        <v>46250</v>
      </c>
      <c r="C15" s="1">
        <v>27840.7</v>
      </c>
    </row>
    <row r="16" spans="1:5">
      <c r="A16" s="1">
        <v>5200</v>
      </c>
      <c r="B16" s="87">
        <v>46255</v>
      </c>
      <c r="C16" s="1">
        <v>33040.7</v>
      </c>
    </row>
    <row r="17" spans="1:3">
      <c r="A17" s="1">
        <v>-980</v>
      </c>
      <c r="B17" s="87">
        <v>46259</v>
      </c>
      <c r="C17" s="1">
        <v>32060.7</v>
      </c>
    </row>
    <row r="18" spans="1:3">
      <c r="A18" s="1">
        <v>-680</v>
      </c>
      <c r="B18" s="87">
        <v>46262</v>
      </c>
      <c r="C18" s="1">
        <v>31380.7</v>
      </c>
    </row>
    <row r="19" spans="1:3">
      <c r="A19" s="1">
        <v>-6500</v>
      </c>
      <c r="B19" s="87">
        <v>46266</v>
      </c>
      <c r="C19" s="1">
        <v>24880.7</v>
      </c>
    </row>
    <row r="20" spans="1:3">
      <c r="A20" s="1">
        <v>-3120</v>
      </c>
      <c r="B20" s="87">
        <v>46267</v>
      </c>
      <c r="C20" s="1">
        <v>21760.7</v>
      </c>
    </row>
    <row r="21" spans="1:3">
      <c r="A21" s="1">
        <v>460</v>
      </c>
      <c r="B21" s="87">
        <v>46268</v>
      </c>
      <c r="C21" s="1">
        <v>22220.7</v>
      </c>
    </row>
    <row r="22" spans="1:3">
      <c r="A22" s="1">
        <v>17600</v>
      </c>
      <c r="B22" s="87">
        <v>46269</v>
      </c>
      <c r="C22" s="1">
        <v>39820.7</v>
      </c>
    </row>
    <row r="23" spans="1:3">
      <c r="A23" s="1">
        <v>-18600</v>
      </c>
      <c r="B23" s="87">
        <v>46271</v>
      </c>
      <c r="C23" s="1">
        <v>21220.7</v>
      </c>
    </row>
    <row r="24" spans="1:3">
      <c r="A24" s="1">
        <v>-398.8</v>
      </c>
      <c r="B24" s="87">
        <v>46273</v>
      </c>
      <c r="C24" s="1">
        <v>20821.9</v>
      </c>
    </row>
    <row r="25" spans="1:3">
      <c r="A25" s="1">
        <v>-3500</v>
      </c>
      <c r="B25" s="87">
        <v>46275</v>
      </c>
      <c r="C25" s="1">
        <v>17321.9</v>
      </c>
    </row>
    <row r="26" spans="1:3">
      <c r="A26" s="1">
        <v>-600</v>
      </c>
      <c r="B26" s="87">
        <v>46277</v>
      </c>
      <c r="C26" s="1">
        <v>16721.9</v>
      </c>
    </row>
    <row r="27" spans="1:3">
      <c r="A27" s="1">
        <v>-129</v>
      </c>
      <c r="B27" s="87">
        <v>46279</v>
      </c>
      <c r="C27" s="1">
        <v>16592.9</v>
      </c>
    </row>
    <row r="28" spans="1:3">
      <c r="A28" s="1">
        <v>-28</v>
      </c>
      <c r="B28" s="87">
        <v>46283</v>
      </c>
      <c r="C28" s="1">
        <v>16564.9</v>
      </c>
    </row>
    <row r="29" spans="1:3">
      <c r="A29" s="1">
        <v>-28</v>
      </c>
      <c r="B29" s="87">
        <v>46283</v>
      </c>
      <c r="C29" s="1">
        <v>16536.9</v>
      </c>
    </row>
    <row r="30" spans="1:3">
      <c r="A30" s="1">
        <v>-4200</v>
      </c>
      <c r="B30" s="87">
        <v>46287</v>
      </c>
      <c r="C30" s="1">
        <v>12336.9</v>
      </c>
    </row>
    <row r="31" spans="1:3">
      <c r="A31" s="1">
        <v>188</v>
      </c>
      <c r="B31" s="87">
        <v>46291</v>
      </c>
      <c r="C31" s="1">
        <v>12524.9</v>
      </c>
    </row>
    <row r="32" spans="1:3">
      <c r="A32" s="1">
        <v>-12</v>
      </c>
      <c r="B32" s="87">
        <v>46293</v>
      </c>
      <c r="C32" s="1">
        <v>12512.9</v>
      </c>
    </row>
    <row r="33" spans="1:3">
      <c r="A33" s="1">
        <v>-6500</v>
      </c>
      <c r="B33" s="87">
        <v>46296</v>
      </c>
      <c r="C33" s="1">
        <v>6012.9</v>
      </c>
    </row>
    <row r="34" spans="1:3">
      <c r="A34" s="1">
        <v>11400</v>
      </c>
      <c r="B34" s="87">
        <v>46298</v>
      </c>
      <c r="C34" s="1">
        <v>17412.9</v>
      </c>
    </row>
    <row r="35" spans="1:3">
      <c r="A35" s="1">
        <v>-246</v>
      </c>
      <c r="B35" s="87">
        <v>46301</v>
      </c>
      <c r="C35" s="1">
        <v>17166.9</v>
      </c>
    </row>
    <row r="36" spans="1:3">
      <c r="A36" s="1">
        <v>-387.6</v>
      </c>
      <c r="B36" s="87">
        <v>46303</v>
      </c>
      <c r="C36" s="1">
        <v>16779.3</v>
      </c>
    </row>
    <row r="37" spans="1:3">
      <c r="A37" s="1">
        <v>-4000</v>
      </c>
      <c r="B37" s="87">
        <v>46304</v>
      </c>
      <c r="C37" s="1">
        <v>12779.3</v>
      </c>
    </row>
    <row r="38" spans="1:3">
      <c r="A38" s="1">
        <v>-129</v>
      </c>
      <c r="B38" s="87">
        <v>46309</v>
      </c>
      <c r="C38" s="1">
        <v>12650.3</v>
      </c>
    </row>
    <row r="39" spans="1:3">
      <c r="A39" s="1">
        <v>3800</v>
      </c>
      <c r="B39" s="87">
        <v>46310</v>
      </c>
      <c r="C39" s="1">
        <v>16450.3</v>
      </c>
    </row>
    <row r="40" spans="1:3">
      <c r="A40" s="1">
        <v>-2600</v>
      </c>
      <c r="B40" s="87">
        <v>46315</v>
      </c>
      <c r="C40" s="1">
        <v>13850.3</v>
      </c>
    </row>
    <row r="41" spans="1:3">
      <c r="A41" s="1">
        <v>-1800</v>
      </c>
      <c r="B41" s="87">
        <v>46322</v>
      </c>
      <c r="C41" s="1">
        <v>12050.3</v>
      </c>
    </row>
    <row r="42" spans="1:3">
      <c r="A42" s="1">
        <v>12.5</v>
      </c>
      <c r="B42" s="87">
        <v>46325</v>
      </c>
      <c r="C42" s="1">
        <v>12062.8</v>
      </c>
    </row>
  </sheetData>
  <sheetProtection sheet="1" objects="1" scenarios="1"/>
  <pageMargins left="0.4" right="0.4" top="0.45" bottom="0.4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28</vt:i4>
      </vt:variant>
    </vt:vector>
  </HeadingPairs>
  <TitlesOfParts>
    <vt:vector size="35" baseType="lpstr">
      <vt:lpstr>要你决定</vt:lpstr>
      <vt:lpstr>明细</vt:lpstr>
      <vt:lpstr>分类汇总</vt:lpstr>
      <vt:lpstr>月度汇总</vt:lpstr>
      <vt:lpstr>核对</vt:lpstr>
      <vt:lpstr>怎么用</vt:lpstr>
      <vt:lpstr>读到的原样</vt:lpstr>
      <vt:lpstr>ss_all_categories</vt:lpstr>
      <vt:lpstr>ss_all_lines</vt:lpstr>
      <vt:lpstr>ss_answer</vt:lpstr>
      <vt:lpstr>ss_asset</vt:lpstr>
      <vt:lpstr>ss_balance_diff</vt:lpstr>
      <vt:lpstr>ss_cannot</vt:lpstr>
      <vt:lpstr>ss_edit_text</vt:lpstr>
      <vt:lpstr>ss_edits</vt:lpstr>
      <vt:lpstr>ss_fail</vt:lpstr>
      <vt:lpstr>ss_first_break</vt:lpstr>
      <vt:lpstr>ss_first_line</vt:lpstr>
      <vt:lpstr>ss_guess</vt:lpstr>
      <vt:lpstr>ss_guess_n</vt:lpstr>
      <vt:lpstr>ss_income</vt:lpstr>
      <vt:lpstr>ss_income_guess</vt:lpstr>
      <vt:lpstr>ss_income_you</vt:lpstr>
      <vt:lpstr>ss_leftout</vt:lpstr>
      <vt:lpstr>ss_loan</vt:lpstr>
      <vt:lpstr>ss_private</vt:lpstr>
      <vt:lpstr>ss_refunds</vt:lpstr>
      <vt:lpstr>ss_second</vt:lpstr>
      <vt:lpstr>ss_spending</vt:lpstr>
      <vt:lpstr>ss_spending_guess</vt:lpstr>
      <vt:lpstr>ss_spending_you</vt:lpstr>
      <vt:lpstr>ss_tax</vt:lpstr>
      <vt:lpstr>ss_transfer</vt:lpstr>
      <vt:lpstr>ss_undecided</vt:lpstr>
      <vt:lpstr>ss_undecided_n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流水分好类</dc:title>
  <dc:creator/>
  <dc:description>Fictional sample</dc:description>
  <cp:lastModifiedBy/>
  <dcterms:created xsi:type="dcterms:W3CDTF">2026-11-02T00:35:04Z</dcterms:created>
  <dcterms:modified xsi:type="dcterms:W3CDTF">2026-11-02T00:35:04Z</dcterms:modified>
</cp:coreProperties>
</file>